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965" tabRatio="621" firstSheet="4" activeTab="5"/>
  </bookViews>
  <sheets>
    <sheet name="KAPAKU" sheetId="1" r:id="rId1"/>
    <sheet name="PASH ANALITIK" sheetId="2" r:id="rId2"/>
    <sheet name="Rezultati" sheetId="3" r:id="rId3"/>
    <sheet name="BEN.Sipas Natyres KF Dir." sheetId="4" r:id="rId4"/>
    <sheet name="AKTIVI ANALITIK" sheetId="5" r:id="rId5"/>
    <sheet name="PASIVI ANALITIK" sheetId="6" r:id="rId6"/>
    <sheet name="NDRYSHIMI I KAPITALIT" sheetId="7" r:id="rId7"/>
  </sheets>
  <definedNames>
    <definedName name="_xlnm.Print_Area" localSheetId="4">'AKTIVI ANALITIK'!$A$1:$E$191</definedName>
    <definedName name="_xlnm.Print_Area" localSheetId="3">'BEN.Sipas Natyres KF Dir.'!$B$1:$H$155</definedName>
    <definedName name="_xlnm.Print_Area" localSheetId="6">'NDRYSHIMI I KAPITALIT'!$A$1:$J$37</definedName>
    <definedName name="_xlnm.Print_Area" localSheetId="1">'PASH ANALITIK'!$A$1:$E$128</definedName>
    <definedName name="_xlnm.Print_Area" localSheetId="5">'PASIVI ANALITIK'!$A$1:$E$119</definedName>
    <definedName name="_xlnm.Print_Area" localSheetId="2">'Rezultati'!#REF!</definedName>
  </definedNames>
  <calcPr fullCalcOnLoad="1"/>
</workbook>
</file>

<file path=xl/comments3.xml><?xml version="1.0" encoding="utf-8"?>
<comments xmlns="http://schemas.openxmlformats.org/spreadsheetml/2006/main">
  <authors>
    <author>bpula</author>
  </authors>
  <commentList>
    <comment ref="D14" authorId="0">
      <text>
        <r>
          <rPr>
            <b/>
            <sz val="8"/>
            <rFont val="Tahoma"/>
            <family val="0"/>
          </rPr>
          <t>bpula:</t>
        </r>
        <r>
          <rPr>
            <sz val="8"/>
            <rFont val="Tahoma"/>
            <family val="0"/>
          </rPr>
          <t xml:space="preserve">
subvencione+pagesa nga arka per raimonda Zaden+Seminari i Vasil Nacit</t>
        </r>
      </text>
    </comment>
  </commentList>
</comments>
</file>

<file path=xl/comments4.xml><?xml version="1.0" encoding="utf-8"?>
<comments xmlns="http://schemas.openxmlformats.org/spreadsheetml/2006/main">
  <authors>
    <author>lkociu</author>
  </authors>
  <commentList>
    <comment ref="F44" authorId="0">
      <text>
        <r>
          <rPr>
            <b/>
            <sz val="8"/>
            <rFont val="Tahoma"/>
            <family val="0"/>
          </rPr>
          <t>lkociu:</t>
        </r>
        <r>
          <rPr>
            <sz val="8"/>
            <rFont val="Tahoma"/>
            <family val="0"/>
          </rPr>
          <t xml:space="preserve">
plus edhe dif nga perkthimi
</t>
        </r>
      </text>
    </comment>
  </commentList>
</comments>
</file>

<file path=xl/comments5.xml><?xml version="1.0" encoding="utf-8"?>
<comments xmlns="http://schemas.openxmlformats.org/spreadsheetml/2006/main">
  <authors>
    <author>bpula</author>
  </authors>
  <commentList>
    <comment ref="D134" authorId="0">
      <text>
        <r>
          <rPr>
            <b/>
            <sz val="8"/>
            <rFont val="Tahoma"/>
            <family val="0"/>
          </rPr>
          <t>bpula:</t>
        </r>
        <r>
          <rPr>
            <sz val="8"/>
            <rFont val="Tahoma"/>
            <family val="0"/>
          </rPr>
          <t xml:space="preserve">
akcize alkolike 14512409 dhe freskuese -4186038</t>
        </r>
      </text>
    </comment>
    <comment ref="E148" authorId="0">
      <text>
        <r>
          <rPr>
            <b/>
            <sz val="8"/>
            <rFont val="Tahoma"/>
            <family val="0"/>
          </rPr>
          <t>bpula:</t>
        </r>
        <r>
          <rPr>
            <sz val="8"/>
            <rFont val="Tahoma"/>
            <family val="0"/>
          </rPr>
          <t xml:space="preserve">
shtuar lulishtja tirane si veper infrastrukture.</t>
        </r>
      </text>
    </comment>
    <comment ref="D51" authorId="0">
      <text>
        <r>
          <rPr>
            <b/>
            <sz val="8"/>
            <rFont val="Tahoma"/>
            <family val="0"/>
          </rPr>
          <t>bpula:</t>
        </r>
        <r>
          <rPr>
            <sz val="8"/>
            <rFont val="Tahoma"/>
            <family val="0"/>
          </rPr>
          <t xml:space="preserve">
dogana</t>
        </r>
      </text>
    </comment>
  </commentList>
</comments>
</file>

<file path=xl/comments6.xml><?xml version="1.0" encoding="utf-8"?>
<comments xmlns="http://schemas.openxmlformats.org/spreadsheetml/2006/main">
  <authors>
    <author>bpula</author>
  </authors>
  <commentList>
    <comment ref="E46" authorId="0">
      <text>
        <r>
          <rPr>
            <b/>
            <sz val="8"/>
            <rFont val="Tahoma"/>
            <family val="0"/>
          </rPr>
          <t>bpula:</t>
        </r>
        <r>
          <rPr>
            <sz val="8"/>
            <rFont val="Tahoma"/>
            <family val="0"/>
          </rPr>
          <t xml:space="preserve">
SIPAS VENDIMIT TE ASAMBLESE.</t>
        </r>
      </text>
    </comment>
  </commentList>
</comments>
</file>

<file path=xl/sharedStrings.xml><?xml version="1.0" encoding="utf-8"?>
<sst xmlns="http://schemas.openxmlformats.org/spreadsheetml/2006/main" count="809" uniqueCount="715">
  <si>
    <t xml:space="preserve">           Tatim te tjera per tu paguar dhe per tu kthyer ( tep kredit)</t>
  </si>
  <si>
    <t xml:space="preserve">            Tatim te shtyra( tep kredit)</t>
  </si>
  <si>
    <t xml:space="preserve">            Tatim ne burim</t>
  </si>
  <si>
    <t xml:space="preserve"> Te drejta dhe detyrime ndaj aksionerve ( tep kredit)</t>
  </si>
  <si>
    <t xml:space="preserve"> Te drejta ndaj pronarve per kapitalin e neneshkruar ( tep kredit)</t>
  </si>
  <si>
    <t xml:space="preserve"> Dividente per tu paguar</t>
  </si>
  <si>
    <t xml:space="preserve"> Qira financiare</t>
  </si>
  <si>
    <t>Detyrime per blerjen e letrave me vlere</t>
  </si>
  <si>
    <t xml:space="preserve"> Debitor te tjere,kreditor te tjere ( tep kredit)</t>
  </si>
  <si>
    <t>Diferenca konvertimi Pasive</t>
  </si>
  <si>
    <t xml:space="preserve">  Parapagime te mara</t>
  </si>
  <si>
    <t>Totali  3</t>
  </si>
  <si>
    <t>Grantet dhe te ardhurat e shtyra</t>
  </si>
  <si>
    <t xml:space="preserve">          Grantet</t>
  </si>
  <si>
    <t xml:space="preserve">          Grante  Afatshkurtra</t>
  </si>
  <si>
    <t xml:space="preserve"> Interesa pasive te llogaritura</t>
  </si>
  <si>
    <t xml:space="preserve"> Te ardhura te periudhave te ardhshme</t>
  </si>
  <si>
    <t xml:space="preserve"> Provizionet afatshkurtra</t>
  </si>
  <si>
    <t>TOTALI I DETYRIMEVE  AFATSHKURTRA   (1+2+3+4+5 = I)</t>
  </si>
  <si>
    <t>DETYRIMET AFATGJATA</t>
  </si>
  <si>
    <t>Huat afatgjata</t>
  </si>
  <si>
    <t xml:space="preserve"> Huamarjet Afatgjata</t>
  </si>
  <si>
    <t xml:space="preserve">           Bankat</t>
  </si>
  <si>
    <t xml:space="preserve">           Interesa të maturuar</t>
  </si>
  <si>
    <t xml:space="preserve">            Obligacionet</t>
  </si>
  <si>
    <t xml:space="preserve">            Primi ι obligacionit</t>
  </si>
  <si>
    <t xml:space="preserve">            Te tjera tituj- Bono te konvertueshem</t>
  </si>
  <si>
    <t xml:space="preserve">            Primi I bonos</t>
  </si>
  <si>
    <t xml:space="preserve">            Zbritja e bonos</t>
  </si>
  <si>
    <t>Total 1</t>
  </si>
  <si>
    <t>Huamarje te tjera afatgjata</t>
  </si>
  <si>
    <t xml:space="preserve"> Te drejta e detyrime ndaj  apjest grup (  teprica kreditore)</t>
  </si>
  <si>
    <t xml:space="preserve"> Te drejta e detyrime ndaj  aksionerve (  teprica kreditore)</t>
  </si>
  <si>
    <t xml:space="preserve"> Te drejta ndaj pronarve per kape neneshk(  teprica kreditore)</t>
  </si>
  <si>
    <t xml:space="preserve"> Detyryme per blerjen e letrave me vlere</t>
  </si>
  <si>
    <t xml:space="preserve"> furnitor per aktive afatgjate</t>
  </si>
  <si>
    <t xml:space="preserve"> Parapagime te mara</t>
  </si>
  <si>
    <t xml:space="preserve"> Provizine afatgjata</t>
  </si>
  <si>
    <t xml:space="preserve"> Grante dhe te ardhura te shtyra</t>
  </si>
  <si>
    <t xml:space="preserve"> Interesa pasive te shtyra</t>
  </si>
  <si>
    <t>TOTALI I DETYRIMEVE AFATGJATA   (1+2+3+4 = II)</t>
  </si>
  <si>
    <t>TOTALI I DETYRIMEVE  (I+ II)</t>
  </si>
  <si>
    <t>KAPITALI</t>
  </si>
  <si>
    <t>Aksionet e pakices</t>
  </si>
  <si>
    <t>pasqy konsol</t>
  </si>
  <si>
    <t>Shpenzime pritje e dhurime tej kufirit tatimor</t>
  </si>
  <si>
    <t>Shpenzime (subvencione+ te tjera pagesa)</t>
  </si>
  <si>
    <t>Të ndryshme(ruajtje objekti+sherbime doganore)</t>
  </si>
  <si>
    <t>Kapitali Qe I perket aksioneve te shoqerise meme</t>
  </si>
  <si>
    <t>Kapitali Aksionar</t>
  </si>
  <si>
    <t>pasqy konsol 101</t>
  </si>
  <si>
    <t xml:space="preserve">            Kapitali neneshkruar I papaguar</t>
  </si>
  <si>
    <t xml:space="preserve">            Kapitali paguar</t>
  </si>
  <si>
    <t xml:space="preserve"> Primi I aksionit</t>
  </si>
  <si>
    <t>Rezerva nga rivleresimi</t>
  </si>
  <si>
    <t xml:space="preserve"> Njesite ose aksionet e thesarit (negative)</t>
  </si>
  <si>
    <t xml:space="preserve"> Rezerva</t>
  </si>
  <si>
    <t xml:space="preserve">           1061 Rezerva ligjore</t>
  </si>
  <si>
    <t xml:space="preserve">           1062 Rezerva Statutore</t>
  </si>
  <si>
    <t xml:space="preserve">           1068 Rezerva te tjera</t>
  </si>
  <si>
    <t xml:space="preserve"> Fitimet e pashperndara</t>
  </si>
  <si>
    <t>Fitimet(humbjet) e vitit ushtrimor</t>
  </si>
  <si>
    <t>Subvencione për investime të tjera</t>
  </si>
  <si>
    <t xml:space="preserve"> Shuma të parashikuara për rreziqe</t>
  </si>
  <si>
    <t>TOTALI I KAPITALIT   (III)</t>
  </si>
  <si>
    <t>TOTALI I DETYRYMEVE DHE KAPITALIT  (I+ II+III)</t>
  </si>
  <si>
    <t>SHENIME</t>
  </si>
  <si>
    <t>ZERAT E TE ARDHURAVE DHE SHPENZIMEVE</t>
  </si>
  <si>
    <t>Referenca</t>
  </si>
  <si>
    <t>Llogarive</t>
  </si>
  <si>
    <t>Shitje neto</t>
  </si>
  <si>
    <t>Shitje produkte të gatshme</t>
  </si>
  <si>
    <t>Shitje mallra</t>
  </si>
  <si>
    <t>Te ardhura te tjera nga veprimtarit e shfrytezimit</t>
  </si>
  <si>
    <t>Shitje produkte të ndërmjetme</t>
  </si>
  <si>
    <t>Shitje nënprodukte dhe produkte mbeturinë</t>
  </si>
  <si>
    <t xml:space="preserve">Te ardhurat nga vet furnizimet </t>
  </si>
  <si>
    <t>Qira+ENERGJI</t>
  </si>
  <si>
    <t>Dorëzim punime dhe shërbime</t>
  </si>
  <si>
    <t>Shitje materiale furniturash</t>
  </si>
  <si>
    <t>Të ardhura nga veprimtari anekse</t>
  </si>
  <si>
    <t>Qira</t>
  </si>
  <si>
    <t>Komisione e ndërmjetësime amc dhe bonuset e amc</t>
  </si>
  <si>
    <t>Transport për të tretet</t>
  </si>
  <si>
    <t>Vënie personeli në dispozicion të te tretëve</t>
  </si>
  <si>
    <t xml:space="preserve">Ndryshimi ne inventarin e produkteve te gatshme </t>
  </si>
  <si>
    <t>EMERI I FINANCIERIT</t>
  </si>
  <si>
    <t>(-)Humbje nga kursi I kembimit</t>
  </si>
  <si>
    <t>(-)Shpenzimet per interesat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</si>
  <si>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</si>
  <si>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</si>
  <si>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</si>
  <si>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</si>
  <si>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</si>
  <si>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Të ardhura nga shitja e aktiveve të qëndrueshme</t>
  </si>
  <si>
    <t>Dhurata e ndihma të marra</t>
  </si>
  <si>
    <t>Kerkesa për arketim të rikuperuara</t>
  </si>
  <si>
    <t>Penalitete e gjoba të arkëtuara</t>
  </si>
  <si>
    <t>Të ndryshme</t>
  </si>
  <si>
    <t>Totali I te ardhurave te shfrytezimit</t>
  </si>
  <si>
    <t>Materjale te konsumuara</t>
  </si>
  <si>
    <t>Blerje materialesh të para</t>
  </si>
  <si>
    <t>Blerje materialesh të tjera të stokueshme(karburant)</t>
  </si>
  <si>
    <t>Ndryshimi i gjendjeve të materialeve e mallrave të blera</t>
  </si>
  <si>
    <t>Ndryshimi i gjendjeve të materialeve të para per prodhim</t>
  </si>
  <si>
    <t>Ndryshimi i gjendjeve të materialeve të para(karburant)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</si>
  <si>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</si>
  <si>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</si>
  <si>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</si>
  <si>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</si>
  <si>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</si>
  <si>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tjera</t>
  </si>
  <si>
    <t>Kosto e punes</t>
  </si>
  <si>
    <t>Pagat e personelit</t>
  </si>
  <si>
    <t>Kuota të sigurimeve shoqërore dhe përkrahjes shoqërore</t>
  </si>
  <si>
    <t>Kuota të tjera për organizmat shoqërore</t>
  </si>
  <si>
    <t>Shpenzime të tjera</t>
  </si>
  <si>
    <t>Amortizimi dhe zhvleresime</t>
  </si>
  <si>
    <t>Amortizime dhe shuma të parashikuara të shfrytëzimit</t>
  </si>
  <si>
    <t>Amortizime të aktiveve të qendrueshme</t>
  </si>
  <si>
    <t>VITI 2010</t>
  </si>
  <si>
    <t>Pozicioni me 31.12.2009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</si>
  <si>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</si>
  <si>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</si>
  <si>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</si>
  <si>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</si>
  <si>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</si>
  <si>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</si>
  <si>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</si>
  <si>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</si>
  <si>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Shpenzime te tjera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</si>
  <si>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</si>
  <si>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</si>
  <si>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</si>
  <si>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</si>
  <si>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</si>
  <si>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SHËRBIME TË TJERA</t>
  </si>
  <si>
    <t>Personel nga jashtë njësisë ekonomike</t>
  </si>
  <si>
    <t>Pagesa të ndermjetësëve dhe honorare</t>
  </si>
  <si>
    <t>Siguracione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</si>
  <si>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</si>
  <si>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</si>
  <si>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</si>
  <si>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</si>
  <si>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</si>
  <si>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</si>
  <si>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</si>
  <si>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</si>
  <si>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</si>
  <si>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</si>
  <si>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SHPENZIME TË TJERA TË ZAKONSHME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</si>
  <si>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</si>
  <si>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</si>
  <si>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</si>
  <si>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</si>
  <si>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Dhjetor 31,2009</t>
  </si>
  <si>
    <t>Penalitete, gjoba e dëmshpërblime</t>
  </si>
  <si>
    <t>TË tjera shpenzime rrjedhëse</t>
  </si>
  <si>
    <t>Totali I shpenzimeve(   shuma 8 deri 11)</t>
  </si>
  <si>
    <t>Fitimi apo humbja nga veprimtaria kryesore  7-12</t>
  </si>
  <si>
    <t>Te ardhurat dhe shpenzimet financiare nga njesite e kontrolluara</t>
  </si>
  <si>
    <t>Të ardhura nga pjesëmarrjet</t>
  </si>
  <si>
    <t>Shpenzime për interesa</t>
  </si>
  <si>
    <t>Te ardhurat dhe shpenzimet financiare nga  pjesemarjet</t>
  </si>
  <si>
    <t>Të ardhura nga shitja e aktiveve të qendrueshme financiare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</si>
  <si>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</si>
  <si>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</si>
  <si>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</si>
  <si>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</si>
  <si>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</si>
  <si>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</si>
  <si>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</si>
  <si>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</si>
  <si>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</si>
  <si>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</si>
  <si>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</si>
  <si>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</si>
  <si>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</si>
  <si>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Të ardhura financiare të tjera</t>
  </si>
  <si>
    <t xml:space="preserve">Totali I te ardhurave dhe shpenzimeve te tjera financiare 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</si>
  <si>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</si>
  <si>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</si>
  <si>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</si>
  <si>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</si>
  <si>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</si>
  <si>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</si>
  <si>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</si>
  <si>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</si>
  <si>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</si>
  <si>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</si>
  <si>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</si>
  <si>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Të tjera</t>
  </si>
  <si>
    <t>Fitimet (humbjet) e vitit ushtrimor (BRUTO)</t>
  </si>
  <si>
    <t>Tatime mbi fitimet</t>
  </si>
  <si>
    <t>Nga viti 2009</t>
  </si>
  <si>
    <t>Fitimet(humbjet) e vitit ushtrimor (NETO )</t>
  </si>
  <si>
    <t>Fitimet (humbjet) e vitit ushtrimor ( FITIMI SIPAS  BILANCIT)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</si>
  <si>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</si>
  <si>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</si>
  <si>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</si>
  <si>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</si>
  <si>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</si>
  <si>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</si>
  <si>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</si>
  <si>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Makineri dhe pajisje</t>
  </si>
  <si>
    <t>Aktive Afatgjata ne Proces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</si>
  <si>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</si>
  <si>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</si>
  <si>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</si>
  <si>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</si>
  <si>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</si>
  <si>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</si>
  <si>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</si>
  <si>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Totali i Aktive Afatgjata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</si>
  <si>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</si>
  <si>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</si>
  <si>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</si>
  <si>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</si>
  <si>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</si>
  <si>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</si>
  <si>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</si>
  <si>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</si>
  <si>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vi</t>
  </si>
  <si>
    <t>vii</t>
  </si>
  <si>
    <t>Te drejta e detyrime ndaj ortakeve.</t>
  </si>
  <si>
    <t>viii</t>
  </si>
  <si>
    <t>Dividente per tu paguar.</t>
  </si>
  <si>
    <t>Debitore dhe Kreditore te tjere.</t>
  </si>
  <si>
    <t>ix</t>
  </si>
  <si>
    <t>Provizionet afatshkurtera</t>
  </si>
  <si>
    <t>Huat  afatgjata</t>
  </si>
  <si>
    <t>Huamarrje nga bankat</t>
  </si>
  <si>
    <t>Bono te konvertueshme</t>
  </si>
  <si>
    <t>TOTALI I DETYRIMEVE AFATSHKURTERA</t>
  </si>
  <si>
    <t>DETYRIMET</t>
  </si>
  <si>
    <t>TOTALI I DETYRIMEVE AFATGJATA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</si>
  <si>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</si>
  <si>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</si>
  <si>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</si>
  <si>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</si>
  <si>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</si>
  <si>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</si>
  <si>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</si>
  <si>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</si>
  <si>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</si>
  <si>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</si>
  <si>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Te ardhura nga shitja e AQT</t>
  </si>
  <si>
    <t>Detyrime tatimore per Tatim Fitimin,tvsh,akc,taks amb</t>
  </si>
  <si>
    <t>VII</t>
  </si>
  <si>
    <t>VIII</t>
  </si>
  <si>
    <t>IX</t>
  </si>
  <si>
    <t>IV/2</t>
  </si>
  <si>
    <t>IV/3</t>
  </si>
  <si>
    <t>IV/4</t>
  </si>
  <si>
    <t>Mjete monetare (MM)  te arketuara nga klientet</t>
  </si>
  <si>
    <t>Mjete monetare (MM) te paguara ndaj furnitoreve dhe punonjesve</t>
  </si>
  <si>
    <t>Mjete monetare (MM) te ardhura nga veprimtarite</t>
  </si>
  <si>
    <t>Rimbursim tatimesh nga shteti</t>
  </si>
  <si>
    <t>Subvecione per shfrytezim</t>
  </si>
  <si>
    <t>Interesa te paguara</t>
  </si>
  <si>
    <t>Pagesa per tatime, taksa e derdhje te ngjashme</t>
  </si>
  <si>
    <t>Taksa Komune</t>
  </si>
  <si>
    <t>Pagesa per shpenzime te tjera</t>
  </si>
  <si>
    <t>Blerja e njesise se kontrolluar X minus parate e arketuara</t>
  </si>
  <si>
    <t>Interesi I arketuar</t>
  </si>
  <si>
    <t>Divident I arketuar</t>
  </si>
  <si>
    <t>Te ardhura nga emeitimi I kapitalit aksioner</t>
  </si>
  <si>
    <t>Arketim I huave te marra</t>
  </si>
  <si>
    <t>Kthimi I huave te marra</t>
  </si>
  <si>
    <t>Te ardhura nga huamarrje afatshkurtra</t>
  </si>
  <si>
    <t>x</t>
  </si>
  <si>
    <t>Totali i Aktiveve Afatgjata financiare dhe materiale(1+2)</t>
  </si>
  <si>
    <t>Provizione afatgjata</t>
  </si>
  <si>
    <t>Interesa pasive te llogaritur</t>
  </si>
  <si>
    <t xml:space="preserve">  Parapagime te mara </t>
  </si>
  <si>
    <t>Blerja neto e aktiveve afatgjata materiale</t>
  </si>
  <si>
    <t>Te ardhurat nga shitja e aktiveve afatgjata materiale(perfshire te blerja neto)</t>
  </si>
  <si>
    <t>Dividente te paguar + tatim dividenti</t>
  </si>
  <si>
    <t>"ALFA"SHA</t>
  </si>
  <si>
    <t>Hua nga ortaket</t>
  </si>
  <si>
    <t>PASQYRA E FLUKSIT TE PARAVE METODA DIREKTE</t>
  </si>
  <si>
    <t>Fluksi monetar nga veprimtaria e shfrytezimit</t>
  </si>
  <si>
    <t>Fluksi monetar nga veprimtaria e investimit</t>
  </si>
  <si>
    <t>Fluksi monetar nga veprimtaria financiare</t>
  </si>
  <si>
    <t>Te ardhura nga huamarrje afatgjata</t>
  </si>
  <si>
    <t>Pagesat e detyrimeve te qirase financiare</t>
  </si>
  <si>
    <t>Rritja /Renia e mjeteve monetare</t>
  </si>
  <si>
    <t>Mjetet monetare ne fillim te periudhes Kontabel</t>
  </si>
  <si>
    <t>Mjetet monetare ne fund te periudhes Kontabel</t>
  </si>
  <si>
    <t>01.01.2010</t>
  </si>
  <si>
    <t>31.12.2010</t>
  </si>
  <si>
    <t>Dhjetor 31,2010</t>
  </si>
  <si>
    <t>Emertimi dhe Forma Ligjore</t>
  </si>
  <si>
    <t>NIPT-i</t>
  </si>
  <si>
    <t>Adresa e Selise</t>
  </si>
  <si>
    <t>Data e Krijimit</t>
  </si>
  <si>
    <t>Veprimtaria Kryesore</t>
  </si>
  <si>
    <t xml:space="preserve">(Ne zbatim te Standartit Kombetar te Kontabilitetit Nr.2 dhe </t>
  </si>
  <si>
    <t>Ligjit Nr.9228 date 29.04.2004 Per Kontabilitetin dhe Pasqyrat Financiare)</t>
  </si>
  <si>
    <t>SHOQERIA "ALFA"SHA</t>
  </si>
  <si>
    <t>J 62903630D</t>
  </si>
  <si>
    <t>VRISERA-GJIROKASTER</t>
  </si>
  <si>
    <t>Pasqyrat Financiare jane Individuale</t>
  </si>
  <si>
    <t>PO</t>
  </si>
  <si>
    <t>Pasqyrat Financiare jane te konsoliduara</t>
  </si>
  <si>
    <t>JO</t>
  </si>
  <si>
    <t>Pasqyrat Financiare jane te shprehura</t>
  </si>
  <si>
    <t>LEKE</t>
  </si>
  <si>
    <t>Pasqyrat Financiare jane te rumbullakosura ne</t>
  </si>
  <si>
    <t>Periudha Kontabel e Pasqyrave Financiare</t>
  </si>
  <si>
    <t>Nga</t>
  </si>
  <si>
    <t>Deri</t>
  </si>
  <si>
    <t>Data e mbylljes se Pasqyrave Financiare</t>
  </si>
  <si>
    <t>Data e dorezimit dhe Nr Protokollit te Pasqyrave Financiare</t>
  </si>
  <si>
    <t>Nr.           Prot</t>
  </si>
  <si>
    <t>Nr. I (kodi fiskal)</t>
  </si>
  <si>
    <t>Prodhim e Tregetim Pije Freskuese</t>
  </si>
  <si>
    <t>Import-Export tregeti e pergjithshme</t>
  </si>
  <si>
    <t>Shenime Shpjeguese</t>
  </si>
  <si>
    <t xml:space="preserve">                                                   KAPITALI AKSIONER QE I PERKET AKSIONERVE TE SHOQERISE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</si>
  <si>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</si>
  <si>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</si>
  <si>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</si>
  <si>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</si>
  <si>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</si>
  <si>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FITIME DHE HUMBJE TE MBARTURA</t>
  </si>
  <si>
    <t>FITIME DHE HUMBJE TE USHTRIMIT</t>
  </si>
  <si>
    <t>REZERVA TE TJERA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</si>
  <si>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</si>
  <si>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</si>
  <si>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</si>
  <si>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</si>
  <si>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</si>
  <si>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</si>
  <si>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</si>
  <si>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Rezerva te tjera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</si>
  <si>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</si>
  <si>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</si>
  <si>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</si>
  <si>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</si>
  <si>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</si>
  <si>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</si>
  <si>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 xml:space="preserve">   Aktivet e Qarkulluse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</si>
  <si>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</si>
  <si>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</si>
  <si>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</si>
  <si>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</si>
  <si>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</si>
  <si>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</si>
  <si>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</si>
  <si>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</si>
  <si>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</si>
  <si>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</si>
  <si>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PASQYRAT         FINANCIARE  </t>
  </si>
  <si>
    <t>NUMRI I VITEVE TE DHENA</t>
  </si>
  <si>
    <t>VITI KALENDARIK I PARE I TE DHENAVE</t>
  </si>
  <si>
    <t>PASQYRA E TE ARDH-SHPZ</t>
  </si>
  <si>
    <t>Fitimi bruto</t>
  </si>
  <si>
    <t>Shpenzime amortizimi</t>
  </si>
  <si>
    <t>Minus: Tatimi</t>
  </si>
  <si>
    <t>Fitimi Neto (EAT)</t>
  </si>
  <si>
    <t>Minus: Divienti AP</t>
  </si>
  <si>
    <t>Fitimi i disponueshem per Aksionet e Zakonshme</t>
  </si>
  <si>
    <t>Totali i Shpenzimeve Operative</t>
  </si>
  <si>
    <t>BILANCI</t>
  </si>
  <si>
    <t>Inventari</t>
  </si>
  <si>
    <t>Totali i Aktiveve Afatshkutra</t>
  </si>
  <si>
    <t>Toka</t>
  </si>
  <si>
    <t>Minus: Amortizimi i Akumuluar</t>
  </si>
  <si>
    <t>Aktive Afatgjata Neto</t>
  </si>
  <si>
    <t>TOTALI I AKTIVIT</t>
  </si>
  <si>
    <t>TOTALI I DETYRIMEVE</t>
  </si>
  <si>
    <t>TOTALI KAPITAL+DETYRIME</t>
  </si>
  <si>
    <r>
      <t>Shenim:</t>
    </r>
    <r>
      <rPr>
        <b/>
        <sz val="12"/>
        <rFont val="Times New Roman"/>
        <family val="1"/>
      </rPr>
      <t xml:space="preserve"> Vendos te dhenat ne </t>
    </r>
    <r>
      <rPr>
        <b/>
        <sz val="12"/>
        <color indexed="12"/>
        <rFont val="Times New Roman"/>
        <family val="1"/>
      </rPr>
      <t>qelizat me ngjyre blu</t>
    </r>
    <r>
      <rPr>
        <b/>
        <sz val="12"/>
        <rFont val="Times New Roman"/>
        <family val="1"/>
      </rPr>
      <t>; ndersa qelizat me ngjyre te zeze gjenerohen nga kompjuteri</t>
    </r>
  </si>
  <si>
    <t>EMERI I KOMPANISE</t>
  </si>
  <si>
    <t xml:space="preserve">   BENARD   PULA</t>
  </si>
  <si>
    <t>Ndertesa</t>
  </si>
  <si>
    <t>Te ardhura nga shitja e Produktit</t>
  </si>
  <si>
    <t>Te ardhura nga shitja e Mallrave</t>
  </si>
  <si>
    <t>Te ardhura nga sherbimet</t>
  </si>
  <si>
    <t>Te ardhura te tjera</t>
  </si>
  <si>
    <t>Minus: Koston e mallrave te shitur dhe lendet e para te perdorura per prodhim</t>
  </si>
  <si>
    <t>Ndryshimi ne inventarin e produktit te Gatshem dhe te punes ne proces</t>
  </si>
  <si>
    <t>Totali I te Ardhurave nga veprimteria e shfrytezimit</t>
  </si>
  <si>
    <t>Puna e kryer nga njesia ekonomike per qellime te veta</t>
  </si>
  <si>
    <t>Shpenzime te tjera nga veprimtaria e shfrytezimit</t>
  </si>
  <si>
    <t>Shpenzime te personelit</t>
  </si>
  <si>
    <t>Fitimi para te ardhurave dhe shpenzimeve financiare</t>
  </si>
  <si>
    <t xml:space="preserve">Fitimi Para Tatimit </t>
  </si>
  <si>
    <t>i</t>
  </si>
  <si>
    <t>Arka</t>
  </si>
  <si>
    <t>Aktive te mbajtura per tregetim</t>
  </si>
  <si>
    <t>Kliente per mallra,produkte e sherbime</t>
  </si>
  <si>
    <t xml:space="preserve">Debitore,Kreditore te tjere </t>
  </si>
  <si>
    <t>TVSH</t>
  </si>
  <si>
    <t>Te drejta e detyrime ndaj ortakeve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</si>
  <si>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</si>
  <si>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</si>
  <si>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</si>
  <si>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</si>
  <si>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</si>
  <si>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</si>
  <si>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afatshkurtra te mbajtura per rishitje</t>
  </si>
  <si>
    <t>Parapagime dhe shpenzime te shtyra</t>
  </si>
  <si>
    <t>Diferenca konvertimi Aktive</t>
  </si>
  <si>
    <t>Shpenzime te periudhave te ardhshme</t>
  </si>
  <si>
    <t>Aktive te tjera financiare afatshkurtera</t>
  </si>
  <si>
    <t>Derivative dhe aktive te mbajtura per tregetim</t>
  </si>
  <si>
    <t>Aktivet  monetare</t>
  </si>
  <si>
    <t>Te ardhurat financiare nga pjesemarrjet</t>
  </si>
  <si>
    <t>(Shpenzimet financiare nga pjesemarrjet)</t>
  </si>
  <si>
    <t>Te ardhurat financiare nga njesite e kontrolluara)</t>
  </si>
  <si>
    <t>(Shpenzimet financiare nga njesite e kontrolluara)</t>
  </si>
  <si>
    <t>Te ardhurat financiare nga investimet e tjera afatgjata</t>
  </si>
  <si>
    <t>(Shpenzimet financiare nga investimet e tjera afatgjata)</t>
  </si>
  <si>
    <t>Te ardhurat nga interesat</t>
  </si>
  <si>
    <t>Fitimet nga kursi I kembimit</t>
  </si>
  <si>
    <t>Totali I te ardhurave dhe (shpenzimeve) financiare</t>
  </si>
  <si>
    <t>I</t>
  </si>
  <si>
    <t>I/1</t>
  </si>
  <si>
    <t>I/2</t>
  </si>
  <si>
    <t>II</t>
  </si>
  <si>
    <t>III</t>
  </si>
  <si>
    <t>III/1</t>
  </si>
  <si>
    <t>III/2</t>
  </si>
  <si>
    <t>IV</t>
  </si>
  <si>
    <t>V</t>
  </si>
  <si>
    <t>I/3</t>
  </si>
  <si>
    <t>III/3</t>
  </si>
  <si>
    <t>III/4</t>
  </si>
  <si>
    <t>IV/1</t>
  </si>
  <si>
    <t>VI</t>
  </si>
  <si>
    <t>VI/1</t>
  </si>
  <si>
    <t>VI/2</t>
  </si>
  <si>
    <t>VI/3</t>
  </si>
  <si>
    <t>VI/4</t>
  </si>
  <si>
    <t>VI/5</t>
  </si>
  <si>
    <t>VI/6</t>
  </si>
  <si>
    <t>VI/7</t>
  </si>
  <si>
    <t>VI/8</t>
  </si>
  <si>
    <t>VI/9</t>
  </si>
  <si>
    <t>VI/10</t>
  </si>
  <si>
    <t>ii</t>
  </si>
  <si>
    <t>Banka</t>
  </si>
  <si>
    <t xml:space="preserve">Derivative </t>
  </si>
  <si>
    <t>iii</t>
  </si>
  <si>
    <t>Tatim mbi fitimin,Akciza</t>
  </si>
  <si>
    <t>iv</t>
  </si>
  <si>
    <t>v</t>
  </si>
  <si>
    <t>NR</t>
  </si>
  <si>
    <t xml:space="preserve">             A K T I V  E T</t>
  </si>
  <si>
    <t>Shenime</t>
  </si>
  <si>
    <t>AKTIVET AFATSHKURTRA</t>
  </si>
  <si>
    <t>Aktivet monetare</t>
  </si>
  <si>
    <t xml:space="preserve"> Letra me vlere afatshkurtra</t>
  </si>
  <si>
    <t xml:space="preserve">    Letra me vlere te pjesmarjes</t>
  </si>
  <si>
    <t xml:space="preserve">    Letra me vlere te huave</t>
  </si>
  <si>
    <t xml:space="preserve"> Banka dhe institucione te tjera financiare</t>
  </si>
  <si>
    <t xml:space="preserve">   Vlera monetare ne tranzit</t>
  </si>
  <si>
    <t xml:space="preserve">           Vlera monetare ne tranzit ,   ne leke</t>
  </si>
  <si>
    <t xml:space="preserve">           Vlera monetare ne tranzit ,   ne monedha te huaja</t>
  </si>
  <si>
    <t xml:space="preserve">   Vlera monetare ne bankë</t>
  </si>
  <si>
    <t xml:space="preserve">             Vlera monetare ne banke ,   ne leke</t>
  </si>
  <si>
    <t xml:space="preserve">             Vlera monetare ne banke ,   ne monedha te huaja</t>
  </si>
  <si>
    <t xml:space="preserve"> Vlera ne arke</t>
  </si>
  <si>
    <t xml:space="preserve">              Vlera monetare,   ne leke</t>
  </si>
  <si>
    <t xml:space="preserve">              Vlera monetare,   ne monedhe te huaj</t>
  </si>
  <si>
    <t xml:space="preserve">  Vlera te tjera ne arke</t>
  </si>
  <si>
    <t xml:space="preserve">               Pulla tatimore</t>
  </si>
  <si>
    <t xml:space="preserve">               Bileta</t>
  </si>
  <si>
    <t xml:space="preserve">               Vlera te tjera</t>
  </si>
  <si>
    <t xml:space="preserve"> Hua dhe letra me vlere te borxhit deri ne tre muaj</t>
  </si>
  <si>
    <t xml:space="preserve">   Hua te dhena</t>
  </si>
  <si>
    <r>
      <t>A</t>
    </r>
    <r>
      <rPr>
        <b/>
        <sz val="7"/>
        <rFont val="Elephant"/>
        <family val="1"/>
      </rPr>
      <t>ktivet e Qarkulluse</t>
    </r>
  </si>
  <si>
    <t xml:space="preserve">              Hua ,   ne leke</t>
  </si>
  <si>
    <t xml:space="preserve">              Hua ,   ne monedhe te huaj</t>
  </si>
  <si>
    <t xml:space="preserve">   Letra me vlere te blera (te mbajtura deri ne maturim)</t>
  </si>
  <si>
    <t xml:space="preserve">                Letra me vlere te blera (ne leke)</t>
  </si>
  <si>
    <t xml:space="preserve">                Letra me vlere te blera (ne monedh te huaj)</t>
  </si>
  <si>
    <t xml:space="preserve"> Zhvleresim I letrave me vlere</t>
  </si>
  <si>
    <t xml:space="preserve">             Aksione</t>
  </si>
  <si>
    <t xml:space="preserve">             Obligacione</t>
  </si>
  <si>
    <t xml:space="preserve">              Zhvleresime te tjera per aktivet financiare</t>
  </si>
  <si>
    <t xml:space="preserve"> Derivative dhe aktive te mbajtura per tregetim</t>
  </si>
  <si>
    <t xml:space="preserve"> Derivatet</t>
  </si>
  <si>
    <t xml:space="preserve">                Vlerat pozitive (Aktivet)</t>
  </si>
  <si>
    <t xml:space="preserve"> Zhvleresimi  I letrave me vlere</t>
  </si>
  <si>
    <t xml:space="preserve">                Zhvleresimi te tjera per aktive financiare</t>
  </si>
  <si>
    <t xml:space="preserve"> Instrumenta financiar primar per tregetim</t>
  </si>
  <si>
    <t>Pozicioni me 01.01.2010</t>
  </si>
  <si>
    <t>Pozicioni me 31.12.2010</t>
  </si>
  <si>
    <t xml:space="preserve"> Ative te tjera financiare per tregetim</t>
  </si>
  <si>
    <t>Totali 1</t>
  </si>
  <si>
    <t>Aktive te tjera financiare afatshkurtra</t>
  </si>
  <si>
    <t>Klient per mallra,produkte dhe sherbime</t>
  </si>
  <si>
    <t>Premtim pag. arket ( behen shitje me leshim premtim pag)</t>
  </si>
  <si>
    <t>413(409)</t>
  </si>
  <si>
    <t>Klient per aktive afatgjata</t>
  </si>
  <si>
    <t>Te drejtat per tu arketuar nga proçeset gjyqesore</t>
  </si>
  <si>
    <t xml:space="preserve"> Parapagime te dhena</t>
  </si>
  <si>
    <t>Debitor te tjere,kreditor te tjere (  teprica debitore)</t>
  </si>
  <si>
    <t>Te drejta per tu arketuar nga shitja e letrave me vlere</t>
  </si>
  <si>
    <t>Tatim mbi fitimin (  teprica debitore)</t>
  </si>
  <si>
    <t>Tatim mbi te ardhurat personale (  teprica debitore)</t>
  </si>
  <si>
    <t>Tatim te tjera mbi punonjesit (  teprica debitore)</t>
  </si>
  <si>
    <t>Tatim ne burim (  teprica debitore)</t>
  </si>
  <si>
    <t>Shteti TVSH per tu mare</t>
  </si>
  <si>
    <t>Te tjera tat per tu pag dhe per tu kthyer (  teprica deb)</t>
  </si>
  <si>
    <t>Tatim te shtyra (  teprica debitore)</t>
  </si>
  <si>
    <t>Te drejta e detyrime ndaj  apjest grup (  teprica debitore)</t>
  </si>
  <si>
    <t>Te drejta e detyrime ndaj  aksionerve (  teprica debitore)</t>
  </si>
  <si>
    <t>Te drejta ndaj pronarve per kape neneshk(  teprica deb)</t>
  </si>
  <si>
    <t>Furnitor per mallra,prod. dhe sherbime (  teprica deb)</t>
  </si>
  <si>
    <t>Furnitor peraktive afatgjata(  teprica deb)</t>
  </si>
  <si>
    <t>Huadhenie afatshkurtra</t>
  </si>
  <si>
    <t>Qera financiare (afatshkurtra dhe ka teprice debitore)</t>
  </si>
  <si>
    <t>Zhvleresim I te drejtave dhe detyri (llogarite analitike)</t>
  </si>
  <si>
    <t xml:space="preserve">Totali 2 </t>
  </si>
  <si>
    <t xml:space="preserve"> Materjale</t>
  </si>
  <si>
    <t>Materjale te para</t>
  </si>
  <si>
    <t xml:space="preserve"> Materjale te tjera</t>
  </si>
  <si>
    <t xml:space="preserve">            Materjale ndihmese</t>
  </si>
  <si>
    <t xml:space="preserve">             Lende djegese</t>
  </si>
  <si>
    <t xml:space="preserve">             Pjese nderimi</t>
  </si>
  <si>
    <t xml:space="preserve">             Materjale amballazhi</t>
  </si>
  <si>
    <t xml:space="preserve">             Materjale te tjera</t>
  </si>
  <si>
    <t>Prodhim ne proçes</t>
  </si>
  <si>
    <t xml:space="preserve">             Prodhim ne proçes</t>
  </si>
  <si>
    <t xml:space="preserve">             Punime ne proçes</t>
  </si>
  <si>
    <t xml:space="preserve">             Sherbime ne proçes</t>
  </si>
  <si>
    <t xml:space="preserve">            Zhvleresim I prodhimeve ne proçes</t>
  </si>
  <si>
    <t>Produkte</t>
  </si>
  <si>
    <t xml:space="preserve">             Produkte te gatshme</t>
  </si>
  <si>
    <t xml:space="preserve">             Produkte te ndermjetme</t>
  </si>
  <si>
    <t xml:space="preserve">             Nenprodukte dhe produkte mbeturine</t>
  </si>
  <si>
    <t xml:space="preserve">            Zhvleresim I produkteve te gateshme</t>
  </si>
  <si>
    <t>Mallra</t>
  </si>
  <si>
    <t>Zhvleresimi I mallrave dhe produkteve per shitje</t>
  </si>
  <si>
    <t>Parapagesa per furnizime (Materjale te para)</t>
  </si>
  <si>
    <t>Parapagesa per furnizime (Materjale te tjera)</t>
  </si>
  <si>
    <t>Parapagesa per furnizime (Produkte te gateshme)</t>
  </si>
  <si>
    <t>Parapagesa per furnizime (Mallra dhe produkte per shitje)</t>
  </si>
  <si>
    <t>Parapagesa per furnizime (Gje e gjalle)</t>
  </si>
  <si>
    <t xml:space="preserve">Totali 3 </t>
  </si>
  <si>
    <t>Aktive biologjike afatshkurtra</t>
  </si>
  <si>
    <t>Aktive afatshkurtra te mbajtura per shitje</t>
  </si>
  <si>
    <t>Parapagime dhe shpenzime te tjera</t>
  </si>
  <si>
    <t>486 Shpenzime te periudhave te ardhshme</t>
  </si>
  <si>
    <t>481 Shpenzime te llogaritura</t>
  </si>
  <si>
    <t>483 Interesa aktive te llogaritura</t>
  </si>
  <si>
    <t>487 Te ardhura te tjera</t>
  </si>
  <si>
    <t>Totali    6</t>
  </si>
  <si>
    <t>TOTALI I AKTIVEVE AFATSHKURTRA   (1+2+3+4+5+6 = I)</t>
  </si>
  <si>
    <t>AKTIVET AFATGJATA</t>
  </si>
  <si>
    <t>Investimet financiare afatgjata</t>
  </si>
  <si>
    <t>Aksione te shoqerive te kontrolluara</t>
  </si>
  <si>
    <t>shoq individ 161</t>
  </si>
  <si>
    <t>Zhvleresimi I aksioneve te kontrolluara</t>
  </si>
  <si>
    <t>Aksione te shoqerive te lidhura</t>
  </si>
  <si>
    <t>Zhvleresimi per aksione te shoqerive te lidhura</t>
  </si>
  <si>
    <t>Aksione te tjera dhe letra me vlere</t>
  </si>
  <si>
    <t>shpen</t>
  </si>
  <si>
    <t>Shpenzime financiare të tjera(perkthimi i linjave te kredise)</t>
  </si>
  <si>
    <t>REZULTATI TATIMOR</t>
  </si>
  <si>
    <t>Humbje e mbartur</t>
  </si>
  <si>
    <t>Nga viti 2007</t>
  </si>
  <si>
    <t>Nga viti 2008</t>
  </si>
  <si>
    <t>Fitimi i ushtrimit</t>
  </si>
  <si>
    <t>Shpenzime te pa zbritshme (+)</t>
  </si>
  <si>
    <t>Amortizime tej normave tatimore</t>
  </si>
  <si>
    <t>Gjoba, penalitete, demshperblime</t>
  </si>
  <si>
    <t>Amortizime shpenzime per tu shperndare</t>
  </si>
  <si>
    <t>Te tjera shpenzime te panjohura (pa fatura)</t>
  </si>
  <si>
    <t>Shpenzime per interesa</t>
  </si>
  <si>
    <t>Fitimi tatimori ushtrimit (2 + 3)</t>
  </si>
  <si>
    <t>Pjesa e humbjes se mbartur ( - )</t>
  </si>
  <si>
    <t>FITIMI I TATUESHME ( 4 + 5 )</t>
  </si>
  <si>
    <t>Perqindja e tatimit mbi fitimin</t>
  </si>
  <si>
    <t>SHUMA E TATIMIT TE LLOGARITUR</t>
  </si>
  <si>
    <t>Zhvleresimi I aksioneve dhe letrave me vlere</t>
  </si>
  <si>
    <t>Huadhenie afatgjata</t>
  </si>
  <si>
    <t>Te drejta te tjera afatgjata</t>
  </si>
  <si>
    <t>Zhvleresim per huadhenie afatgjata</t>
  </si>
  <si>
    <t>Zhvleresim per te drejtat afatgjata</t>
  </si>
  <si>
    <t>Te drejtat dhe detyrimet ndaj paleve te treta</t>
  </si>
  <si>
    <t xml:space="preserve"> ciles. Afatgj 45</t>
  </si>
  <si>
    <t xml:space="preserve">            Te drejta dhe detyrime ndaj pjesetarve te grupit</t>
  </si>
  <si>
    <t xml:space="preserve">            Te drejta dhe detyrime ndaj ortak/aksioner</t>
  </si>
  <si>
    <t xml:space="preserve">            dividente per tu paguar</t>
  </si>
  <si>
    <t xml:space="preserve"> Klient per mallra,produkte dhe sherbime</t>
  </si>
  <si>
    <t xml:space="preserve"> ciles. Afatgj411</t>
  </si>
  <si>
    <t xml:space="preserve"> Premtim pag. arket ( behen shitje me leshim premtim pag)</t>
  </si>
  <si>
    <t xml:space="preserve"> ciles. Afatgj 413</t>
  </si>
  <si>
    <t xml:space="preserve"> Klient per aktive afatgjata</t>
  </si>
  <si>
    <t xml:space="preserve"> ciles. Afatgj 414</t>
  </si>
  <si>
    <t xml:space="preserve"> Te drejtat per tu arketuar nga proçeset gjyqesore</t>
  </si>
  <si>
    <t xml:space="preserve"> ciles. Afatgj416</t>
  </si>
  <si>
    <t xml:space="preserve"> ciles. Afatgj 418</t>
  </si>
  <si>
    <t xml:space="preserve"> Debitor te tjere,kreditor te tjere (  teprica debitore)</t>
  </si>
  <si>
    <t xml:space="preserve"> ciles. Afatgj 467</t>
  </si>
  <si>
    <t xml:space="preserve"> Te drejta per tu arketuar nga shitja e letrave me vlere</t>
  </si>
  <si>
    <t xml:space="preserve"> ciles. Afatgj 465</t>
  </si>
  <si>
    <t xml:space="preserve"> Te drejta dhe detyrime ndaj paleve te lidhura</t>
  </si>
  <si>
    <t xml:space="preserve"> Te drejta e detyrime ndaj  apjest grup (  teprica debitore)</t>
  </si>
  <si>
    <t xml:space="preserve"> ciles. Afatgj 451</t>
  </si>
  <si>
    <t xml:space="preserve"> Te drejta e detyrime ndaj  aksionerve (  teprica debitore)</t>
  </si>
  <si>
    <t xml:space="preserve"> ciles. Afatgj 455</t>
  </si>
  <si>
    <t xml:space="preserve">  Dividente per tu paguar</t>
  </si>
  <si>
    <t xml:space="preserve"> Tatim mbi fitimin (  teprica debitore)</t>
  </si>
  <si>
    <t xml:space="preserve"> ciles. Afatgj 444</t>
  </si>
  <si>
    <t xml:space="preserve"> Tatim mbi te ardhurat personale (  teprica debitore)</t>
  </si>
  <si>
    <t xml:space="preserve"> ciles. Afatgj 442</t>
  </si>
  <si>
    <t xml:space="preserve"> Tatim te tjera mbi punonjesit (  teprica debitore)</t>
  </si>
  <si>
    <t xml:space="preserve"> ciles. Afatgj 443</t>
  </si>
  <si>
    <t xml:space="preserve"> Tatim ne burim (  teprica debitore)</t>
  </si>
  <si>
    <t xml:space="preserve"> ciles. Afatgj 449</t>
  </si>
  <si>
    <t xml:space="preserve"> Shteti TVSH per tu mare</t>
  </si>
  <si>
    <t xml:space="preserve"> ciles. Afatgj 4454</t>
  </si>
  <si>
    <t xml:space="preserve"> Te tjera tat per tu pag dhe per tu kthyer (  teprica deb)</t>
  </si>
  <si>
    <t xml:space="preserve"> ciles. Afatgj 447</t>
  </si>
  <si>
    <t xml:space="preserve"> ciles. Afatgj 448</t>
  </si>
  <si>
    <t xml:space="preserve"> Te drejta ndaj pronarve per kape neneshk(  teprica deb)</t>
  </si>
  <si>
    <t xml:space="preserve"> ciles. Afatgj 456</t>
  </si>
  <si>
    <t xml:space="preserve"> Te drejta per t'u arketuar nga shitja e letrave me vlere</t>
  </si>
  <si>
    <t xml:space="preserve"> Furnitor per mallra,prod. dhe sherbime (  teprica deb)</t>
  </si>
  <si>
    <t xml:space="preserve"> ciles. Afatgj 401</t>
  </si>
  <si>
    <t xml:space="preserve"> ciles. Afatgj 404</t>
  </si>
  <si>
    <t xml:space="preserve"> Huadhenie afatshkurtra</t>
  </si>
  <si>
    <t xml:space="preserve"> ciles. Afatgj 469</t>
  </si>
  <si>
    <t xml:space="preserve"> Zhvleresim I te drejtave dhe detyrimeve(  llogari analitike)</t>
  </si>
  <si>
    <t xml:space="preserve"> ciles. Afatgj 49</t>
  </si>
  <si>
    <t>Aktive afatgjata materjale</t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</si>
  <si>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</si>
  <si>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</si>
  <si>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</si>
  <si>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</si>
  <si>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</si>
  <si>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</si>
  <si>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Amortizimi  Inst tek,makin , pajisje,instrumen dhe vegla pune</t>
  </si>
  <si>
    <t xml:space="preserve"> Mjete trasporti</t>
  </si>
  <si>
    <t xml:space="preserve"> Amortizimi per Mjete trasporti</t>
  </si>
  <si>
    <t xml:space="preserve"> Zhvleresimi  Inst tek,makin , pajisje,instrumen dhe vegla pune</t>
  </si>
  <si>
    <t xml:space="preserve"> Zhvleresimi per Mjete trasporti</t>
  </si>
  <si>
    <t xml:space="preserve"> Te tjera Aktife Afatgjata materjale</t>
  </si>
  <si>
    <t xml:space="preserve">                  Mobilje dhe pajisje zyre</t>
  </si>
  <si>
    <t xml:space="preserve">                  Pajisje informatike</t>
  </si>
  <si>
    <t xml:space="preserve">                  Te tjera</t>
  </si>
  <si>
    <t xml:space="preserve">                  Zhvleresim per te tjera Aktive  Afatgjata materjale</t>
  </si>
  <si>
    <t xml:space="preserve">                  Amortizim per te tjera Aktivet Afatgjata materjale </t>
  </si>
  <si>
    <t>Aktive Afat Gjata ne proces</t>
  </si>
  <si>
    <t xml:space="preserve">35 Inventari imet dhe amballazhe </t>
  </si>
  <si>
    <t xml:space="preserve"> shifer e konside 35</t>
  </si>
  <si>
    <t>Totali 2</t>
  </si>
  <si>
    <t>Aktive biologjike afatgjata</t>
  </si>
  <si>
    <t xml:space="preserve"> Aktivet afatgjata biologjike</t>
  </si>
  <si>
    <t xml:space="preserve"> Amortizimi I Aktiveve Afatgjata Biologjike</t>
  </si>
  <si>
    <t xml:space="preserve"> Zhvleresimi I Aktiveve Afatgjata Biologjike ne proçes</t>
  </si>
  <si>
    <t>Aktive afatgjata jo materjale</t>
  </si>
  <si>
    <t xml:space="preserve"> Emeri I mire</t>
  </si>
  <si>
    <t xml:space="preserve"> Amortizimi I  emrit te mire</t>
  </si>
  <si>
    <t xml:space="preserve"> Zhvleresimi I emerit te mire</t>
  </si>
  <si>
    <t xml:space="preserve"> Konçensione,te drejta te ngjashme,liçenca dhe te ngjashme</t>
  </si>
  <si>
    <t xml:space="preserve"> Amortizimi Konçen,te drejta te ngjash,liçenca dhe te ngjash</t>
  </si>
  <si>
    <t xml:space="preserve"> Zhvleresimi Konçen,te drejta te ngjash,liçenca dhe te ngjash</t>
  </si>
  <si>
    <t xml:space="preserve"> Te tjera Aktive Afatgjata jo materjale(shpenzime zgjerimi)</t>
  </si>
  <si>
    <t xml:space="preserve"> Amortizimi Te tjera Aktive Afatgjata jo materjale</t>
  </si>
  <si>
    <t xml:space="preserve"> ZhvleresimiTe tjera Aktive Afatgjata jo materjale</t>
  </si>
  <si>
    <t>Totali 4</t>
  </si>
  <si>
    <t xml:space="preserve">Ortake – kapital i nënshkruar, i kërkuar, i paderdhur  </t>
  </si>
  <si>
    <t>Aktive te tjera afatgjata</t>
  </si>
  <si>
    <t>TOTALI I AKTIVEVE AFATGJATA   (1+2+3+4+5+6 = II)</t>
  </si>
  <si>
    <t>TOTALI I AKTIVEVE   (I+ II)</t>
  </si>
  <si>
    <t>DETYRIME DHE KAPITALI</t>
  </si>
  <si>
    <t>DETYRIMET AFATSHKURTRA</t>
  </si>
  <si>
    <t>Derivativet</t>
  </si>
  <si>
    <t xml:space="preserve">    Vlerat negative (detyrimet)</t>
  </si>
  <si>
    <t>Totali  1</t>
  </si>
  <si>
    <t xml:space="preserve"> Huamarjet</t>
  </si>
  <si>
    <t xml:space="preserve"> Llogari bankare te zbuluara (overdraftet)</t>
  </si>
  <si>
    <t xml:space="preserve"> Hua te mara</t>
  </si>
  <si>
    <t xml:space="preserve">            Hua(  ne leke)</t>
  </si>
  <si>
    <t xml:space="preserve">            Hua(  ne monedha te huaja)</t>
  </si>
  <si>
    <t xml:space="preserve"> Letra me vlere te borxhit</t>
  </si>
  <si>
    <t xml:space="preserve">            Letra me vlere te emetuara (  ne leke)</t>
  </si>
  <si>
    <t xml:space="preserve">            Letra me vlere te emetuara (  ne monedha te huaja)</t>
  </si>
  <si>
    <t xml:space="preserve"> Bankat</t>
  </si>
  <si>
    <t xml:space="preserve"> Te tjere tituj</t>
  </si>
  <si>
    <t xml:space="preserve">            Kesti I llogaritur</t>
  </si>
  <si>
    <t xml:space="preserve">            Interesi I llogaritur</t>
  </si>
  <si>
    <t xml:space="preserve">            Interesa pasive te llogaritura</t>
  </si>
  <si>
    <t xml:space="preserve">            Te tjera tituj bono te konvertuara</t>
  </si>
  <si>
    <t xml:space="preserve"> Bonot</t>
  </si>
  <si>
    <t xml:space="preserve">             Primi I Bonove</t>
  </si>
  <si>
    <t xml:space="preserve">             Zbritja e bonove</t>
  </si>
  <si>
    <t xml:space="preserve"> 4682/01/02</t>
  </si>
  <si>
    <t>Totali  2</t>
  </si>
  <si>
    <t>Huat dhe parapagimet</t>
  </si>
  <si>
    <t xml:space="preserve"> Huamarjet Afatshkurtra</t>
  </si>
  <si>
    <t xml:space="preserve"> Furnitor per mallra,produkte dhe sherbime </t>
  </si>
  <si>
    <t xml:space="preserve"> Premtim pagesa te pagueshme</t>
  </si>
  <si>
    <t xml:space="preserve"> Furnitor per aktive afatgjate</t>
  </si>
  <si>
    <t xml:space="preserve">      /    /2010 </t>
  </si>
  <si>
    <t xml:space="preserve"> detyrime ndaj punonjesve</t>
  </si>
  <si>
    <t xml:space="preserve">           Paga dhe shperblime</t>
  </si>
  <si>
    <t xml:space="preserve">            Paradhenie per punonjesit</t>
  </si>
  <si>
    <t xml:space="preserve"> Detyrime per sigurime shoqerore</t>
  </si>
  <si>
    <t xml:space="preserve">            Sigurime shoqerore dhe shendetsore</t>
  </si>
  <si>
    <t xml:space="preserve">            Organizma te tjere  shoqeror</t>
  </si>
  <si>
    <t xml:space="preserve">            Detyrime te tjera</t>
  </si>
  <si>
    <t xml:space="preserve"> Shteti Tatim Taksa</t>
  </si>
  <si>
    <t xml:space="preserve">           Akciza</t>
  </si>
  <si>
    <t xml:space="preserve">            Tatim mbi te ardhurat personale</t>
  </si>
  <si>
    <t xml:space="preserve">            Tatime te tjera Takse Amballazhi</t>
  </si>
  <si>
    <t xml:space="preserve">           Tatim mbi fitimin</t>
  </si>
  <si>
    <t xml:space="preserve">            Shteti TVSh  per tu paguar 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</si>
</sst>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ALL]\ #,##0.00"/>
    <numFmt numFmtId="173" formatCode="_-* #,##0.00_L_e_k_-;\-* #,##0.00_L_e_k_-;_-* &quot;-&quot;??_L_e_k_-;_-@_-"/>
    <numFmt numFmtId="174" formatCode="_-* #,##0_-;\-* #,##0_-;_-* &quot;-&quot;??_-;_-@_-"/>
    <numFmt numFmtId="175" formatCode="_(* #,##0_);_(* \(#,##0\);_(* &quot;-&quot;??_);_(@_)"/>
    <numFmt numFmtId="176" formatCode="0.0"/>
    <numFmt numFmtId="177" formatCode="0.00_);\(0.00\)"/>
    <numFmt numFmtId="178" formatCode="0.000000000"/>
    <numFmt numFmtId="179" formatCode="#,##0.0000000"/>
    <numFmt numFmtId="180" formatCode="[$-809]dd\ mmmm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2"/>
      <color indexed="10"/>
      <name val="Times New Roman"/>
      <family val="0"/>
    </font>
    <font>
      <b/>
      <sz val="12"/>
      <name val="Times New Roman"/>
      <family val="0"/>
    </font>
    <font>
      <b/>
      <sz val="10"/>
      <color indexed="12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9"/>
      <name val="Times New Roman"/>
      <family val="0"/>
    </font>
    <font>
      <sz val="8"/>
      <name val="Arial"/>
      <family val="0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56"/>
      <name val="Times New Roman"/>
      <family val="1"/>
    </font>
    <font>
      <b/>
      <sz val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0"/>
    </font>
    <font>
      <b/>
      <i/>
      <sz val="8"/>
      <name val="Arial"/>
      <family val="2"/>
    </font>
    <font>
      <b/>
      <sz val="14"/>
      <name val="Elephant"/>
      <family val="1"/>
    </font>
    <font>
      <b/>
      <sz val="7"/>
      <name val="Elephant"/>
      <family val="1"/>
    </font>
    <font>
      <b/>
      <i/>
      <sz val="8"/>
      <name val="Elephant"/>
      <family val="1"/>
    </font>
    <font>
      <sz val="7"/>
      <name val="Arial"/>
      <family val="0"/>
    </font>
    <font>
      <b/>
      <i/>
      <sz val="10"/>
      <name val="Arial Black"/>
      <family val="2"/>
    </font>
    <font>
      <b/>
      <i/>
      <sz val="10"/>
      <name val="Elephant"/>
      <family val="1"/>
    </font>
    <font>
      <b/>
      <i/>
      <sz val="12"/>
      <name val="Arial"/>
      <family val="2"/>
    </font>
    <font>
      <b/>
      <i/>
      <sz val="12"/>
      <name val="Arial Black"/>
      <family val="2"/>
    </font>
    <font>
      <b/>
      <sz val="14"/>
      <name val="Arial"/>
      <family val="2"/>
    </font>
    <font>
      <b/>
      <sz val="10"/>
      <name val="Elephant"/>
      <family val="1"/>
    </font>
    <font>
      <b/>
      <sz val="7"/>
      <name val="Arial"/>
      <family val="2"/>
    </font>
    <font>
      <b/>
      <sz val="10"/>
      <color indexed="12"/>
      <name val="Arial"/>
      <family val="2"/>
    </font>
    <font>
      <sz val="10"/>
      <name val="CG Times"/>
      <family val="0"/>
    </font>
    <font>
      <sz val="10"/>
      <color indexed="10"/>
      <name val="Arial"/>
      <family val="0"/>
    </font>
    <font>
      <sz val="12"/>
      <name val="Arial"/>
      <family val="2"/>
    </font>
    <font>
      <b/>
      <sz val="12"/>
      <color indexed="8"/>
      <name val="Times New Roman"/>
      <family val="0"/>
    </font>
    <font>
      <b/>
      <sz val="10"/>
      <color indexed="48"/>
      <name val="Arial"/>
      <family val="2"/>
    </font>
    <font>
      <i/>
      <sz val="10"/>
      <color indexed="48"/>
      <name val="Arial"/>
      <family val="2"/>
    </font>
    <font>
      <sz val="12"/>
      <name val="Times New Roman"/>
      <family val="0"/>
    </font>
    <font>
      <sz val="12"/>
      <color indexed="12"/>
      <name val="Times New Roman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2"/>
      <color indexed="48"/>
      <name val="Arial"/>
      <family val="2"/>
    </font>
    <font>
      <b/>
      <sz val="8"/>
      <name val="Arial"/>
      <family val="2"/>
    </font>
    <font>
      <u val="single"/>
      <sz val="10"/>
      <name val="Times New Roman"/>
      <family val="0"/>
    </font>
    <font>
      <u val="single"/>
      <sz val="10"/>
      <name val="Arial"/>
      <family val="0"/>
    </font>
    <font>
      <b/>
      <sz val="20"/>
      <name val="Times New Roman"/>
      <family val="1"/>
    </font>
    <font>
      <u val="single"/>
      <sz val="12"/>
      <name val="Times New Roman"/>
      <family val="0"/>
    </font>
    <font>
      <sz val="14"/>
      <color indexed="10"/>
      <name val="Times New Roman"/>
      <family val="1"/>
    </font>
    <font>
      <b/>
      <sz val="14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0"/>
      <color indexed="21"/>
      <name val="Arial"/>
      <family val="2"/>
    </font>
    <font>
      <sz val="9"/>
      <name val="Arial"/>
      <family val="2"/>
    </font>
    <font>
      <b/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hair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hair"/>
    </border>
    <border>
      <left style="thick"/>
      <right style="thick"/>
      <top style="medium"/>
      <bottom style="hair"/>
    </border>
    <border>
      <left>
        <color indexed="63"/>
      </left>
      <right style="thick"/>
      <top style="medium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ck"/>
      <top style="thin"/>
      <bottom style="hair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hair"/>
      <bottom style="hair"/>
    </border>
    <border>
      <left style="thick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ck"/>
      <top style="hair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thick"/>
      <top style="hair"/>
      <bottom style="medium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9" fillId="0" borderId="0" xfId="0" applyNumberFormat="1" applyFont="1" applyAlignment="1">
      <alignment horizontal="left" wrapText="1"/>
    </xf>
    <xf numFmtId="165" fontId="9" fillId="0" borderId="1" xfId="0" applyNumberFormat="1" applyFont="1" applyBorder="1" applyAlignment="1">
      <alignment/>
    </xf>
    <xf numFmtId="165" fontId="9" fillId="0" borderId="2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1" fontId="9" fillId="0" borderId="4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 wrapText="1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11" fillId="2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3" fontId="11" fillId="2" borderId="0" xfId="0" applyNumberFormat="1" applyFont="1" applyFill="1" applyAlignment="1" quotePrefix="1">
      <alignment horizontal="left" vertical="center"/>
    </xf>
    <xf numFmtId="0" fontId="7" fillId="0" borderId="0" xfId="0" applyFont="1" applyAlignment="1">
      <alignment/>
    </xf>
    <xf numFmtId="3" fontId="10" fillId="1" borderId="5" xfId="0" applyNumberFormat="1" applyFont="1" applyFill="1" applyBorder="1" applyAlignment="1">
      <alignment/>
    </xf>
    <xf numFmtId="49" fontId="9" fillId="0" borderId="5" xfId="0" applyNumberFormat="1" applyFont="1" applyBorder="1" applyAlignment="1">
      <alignment horizontal="left" wrapText="1"/>
    </xf>
    <xf numFmtId="3" fontId="9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49" fontId="10" fillId="0" borderId="5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4" fontId="1" fillId="3" borderId="9" xfId="17" applyNumberFormat="1" applyFont="1" applyFill="1" applyBorder="1" applyAlignment="1">
      <alignment/>
    </xf>
    <xf numFmtId="171" fontId="1" fillId="3" borderId="9" xfId="17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3" borderId="11" xfId="15" applyNumberFormat="1" applyFont="1" applyFill="1" applyBorder="1" applyAlignment="1">
      <alignment/>
    </xf>
    <xf numFmtId="40" fontId="2" fillId="3" borderId="12" xfId="0" applyNumberFormat="1" applyFont="1" applyFill="1" applyBorder="1" applyAlignment="1">
      <alignment/>
    </xf>
    <xf numFmtId="0" fontId="21" fillId="0" borderId="11" xfId="0" applyFont="1" applyBorder="1" applyAlignment="1">
      <alignment horizontal="center"/>
    </xf>
    <xf numFmtId="4" fontId="3" fillId="3" borderId="12" xfId="15" applyNumberFormat="1" applyFont="1" applyFill="1" applyBorder="1" applyAlignment="1">
      <alignment/>
    </xf>
    <xf numFmtId="1" fontId="3" fillId="0" borderId="11" xfId="21" applyNumberFormat="1" applyFont="1" applyBorder="1">
      <alignment/>
      <protection/>
    </xf>
    <xf numFmtId="4" fontId="3" fillId="3" borderId="11" xfId="15" applyNumberFormat="1" applyFont="1" applyFill="1" applyBorder="1" applyAlignment="1">
      <alignment horizontal="right"/>
    </xf>
    <xf numFmtId="4" fontId="3" fillId="3" borderId="12" xfId="15" applyNumberFormat="1" applyFont="1" applyFill="1" applyBorder="1" applyAlignment="1">
      <alignment horizontal="right"/>
    </xf>
    <xf numFmtId="4" fontId="2" fillId="3" borderId="11" xfId="15" applyNumberFormat="1" applyFont="1" applyFill="1" applyBorder="1" applyAlignment="1">
      <alignment horizontal="right"/>
    </xf>
    <xf numFmtId="4" fontId="2" fillId="3" borderId="11" xfId="15" applyNumberFormat="1" applyFont="1" applyFill="1" applyBorder="1" applyAlignment="1">
      <alignment/>
    </xf>
    <xf numFmtId="4" fontId="3" fillId="3" borderId="11" xfId="15" applyNumberFormat="1" applyFont="1" applyFill="1" applyBorder="1" applyAlignment="1">
      <alignment/>
    </xf>
    <xf numFmtId="4" fontId="3" fillId="3" borderId="12" xfId="15" applyNumberFormat="1" applyFont="1" applyFill="1" applyBorder="1" applyAlignment="1">
      <alignment/>
    </xf>
    <xf numFmtId="4" fontId="2" fillId="3" borderId="12" xfId="15" applyNumberFormat="1" applyFont="1" applyFill="1" applyBorder="1" applyAlignment="1">
      <alignment/>
    </xf>
    <xf numFmtId="0" fontId="22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4" fontId="2" fillId="3" borderId="13" xfId="15" applyNumberFormat="1" applyFont="1" applyFill="1" applyBorder="1" applyAlignment="1">
      <alignment/>
    </xf>
    <xf numFmtId="40" fontId="2" fillId="3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6" xfId="0" applyFont="1" applyBorder="1" applyAlignment="1">
      <alignment/>
    </xf>
    <xf numFmtId="0" fontId="21" fillId="0" borderId="14" xfId="0" applyFont="1" applyBorder="1" applyAlignment="1">
      <alignment horizontal="center"/>
    </xf>
    <xf numFmtId="4" fontId="3" fillId="3" borderId="14" xfId="15" applyNumberFormat="1" applyFont="1" applyFill="1" applyBorder="1" applyAlignment="1">
      <alignment/>
    </xf>
    <xf numFmtId="0" fontId="3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4" fontId="3" fillId="3" borderId="7" xfId="15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21" fillId="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3" fontId="0" fillId="0" borderId="0" xfId="15" applyNumberFormat="1" applyAlignment="1">
      <alignment/>
    </xf>
    <xf numFmtId="0" fontId="3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4" fontId="2" fillId="3" borderId="15" xfId="15" applyNumberFormat="1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21" fillId="0" borderId="6" xfId="0" applyFont="1" applyBorder="1" applyAlignment="1">
      <alignment horizontal="center"/>
    </xf>
    <xf numFmtId="4" fontId="3" fillId="3" borderId="6" xfId="15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16" xfId="0" applyFont="1" applyBorder="1" applyAlignment="1">
      <alignment/>
    </xf>
    <xf numFmtId="0" fontId="21" fillId="0" borderId="17" xfId="0" applyFont="1" applyBorder="1" applyAlignment="1">
      <alignment horizontal="center"/>
    </xf>
    <xf numFmtId="4" fontId="3" fillId="3" borderId="18" xfId="15" applyNumberFormat="1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4" fontId="3" fillId="3" borderId="19" xfId="15" applyNumberFormat="1" applyFont="1" applyFill="1" applyBorder="1" applyAlignment="1">
      <alignment/>
    </xf>
    <xf numFmtId="0" fontId="3" fillId="3" borderId="19" xfId="0" applyFont="1" applyFill="1" applyBorder="1" applyAlignment="1">
      <alignment/>
    </xf>
    <xf numFmtId="4" fontId="0" fillId="3" borderId="19" xfId="0" applyNumberFormat="1" applyFill="1" applyBorder="1" applyAlignment="1">
      <alignment/>
    </xf>
    <xf numFmtId="0" fontId="0" fillId="3" borderId="9" xfId="0" applyFill="1" applyBorder="1" applyAlignment="1">
      <alignment/>
    </xf>
    <xf numFmtId="0" fontId="24" fillId="0" borderId="14" xfId="0" applyFont="1" applyBorder="1" applyAlignment="1">
      <alignment horizontal="center"/>
    </xf>
    <xf numFmtId="3" fontId="25" fillId="0" borderId="0" xfId="21" applyNumberFormat="1" applyFont="1" applyBorder="1">
      <alignment/>
      <protection/>
    </xf>
    <xf numFmtId="0" fontId="3" fillId="5" borderId="14" xfId="0" applyFont="1" applyFill="1" applyBorder="1" applyAlignment="1">
      <alignment/>
    </xf>
    <xf numFmtId="0" fontId="26" fillId="5" borderId="14" xfId="0" applyFont="1" applyFill="1" applyBorder="1" applyAlignment="1">
      <alignment/>
    </xf>
    <xf numFmtId="0" fontId="27" fillId="5" borderId="14" xfId="0" applyFont="1" applyFill="1" applyBorder="1" applyAlignment="1">
      <alignment horizontal="center"/>
    </xf>
    <xf numFmtId="0" fontId="3" fillId="4" borderId="7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27" fillId="4" borderId="7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21" fillId="0" borderId="9" xfId="0" applyFont="1" applyBorder="1" applyAlignment="1">
      <alignment horizontal="center"/>
    </xf>
    <xf numFmtId="4" fontId="2" fillId="3" borderId="19" xfId="15" applyNumberFormat="1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3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40" fontId="3" fillId="3" borderId="14" xfId="15" applyNumberFormat="1" applyFont="1" applyFill="1" applyBorder="1" applyAlignment="1">
      <alignment/>
    </xf>
    <xf numFmtId="0" fontId="28" fillId="5" borderId="14" xfId="0" applyFont="1" applyFill="1" applyBorder="1" applyAlignment="1">
      <alignment/>
    </xf>
    <xf numFmtId="0" fontId="29" fillId="5" borderId="14" xfId="0" applyFont="1" applyFill="1" applyBorder="1" applyAlignment="1">
      <alignment/>
    </xf>
    <xf numFmtId="0" fontId="28" fillId="5" borderId="14" xfId="0" applyFont="1" applyFill="1" applyBorder="1" applyAlignment="1">
      <alignment horizontal="center"/>
    </xf>
    <xf numFmtId="40" fontId="28" fillId="3" borderId="14" xfId="15" applyNumberFormat="1" applyFont="1" applyFill="1" applyBorder="1" applyAlignment="1">
      <alignment/>
    </xf>
    <xf numFmtId="4" fontId="0" fillId="3" borderId="0" xfId="15" applyNumberFormat="1" applyFont="1" applyFill="1" applyAlignment="1">
      <alignment/>
    </xf>
    <xf numFmtId="0" fontId="0" fillId="3" borderId="0" xfId="0" applyFont="1" applyFill="1" applyAlignment="1">
      <alignment/>
    </xf>
    <xf numFmtId="171" fontId="0" fillId="0" borderId="0" xfId="15" applyAlignment="1">
      <alignment/>
    </xf>
    <xf numFmtId="0" fontId="30" fillId="0" borderId="0" xfId="0" applyFont="1" applyAlignment="1">
      <alignment/>
    </xf>
    <xf numFmtId="4" fontId="0" fillId="3" borderId="0" xfId="0" applyNumberFormat="1" applyFont="1" applyFill="1" applyAlignment="1">
      <alignment/>
    </xf>
    <xf numFmtId="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23" xfId="0" applyNumberFormat="1" applyFont="1" applyFill="1" applyBorder="1" applyAlignment="1">
      <alignment horizontal="center"/>
    </xf>
    <xf numFmtId="0" fontId="1" fillId="3" borderId="24" xfId="0" applyNumberFormat="1" applyFont="1" applyFill="1" applyBorder="1" applyAlignment="1">
      <alignment horizontal="center"/>
    </xf>
    <xf numFmtId="0" fontId="31" fillId="4" borderId="25" xfId="0" applyFont="1" applyFill="1" applyBorder="1" applyAlignment="1">
      <alignment/>
    </xf>
    <xf numFmtId="0" fontId="31" fillId="4" borderId="26" xfId="0" applyFont="1" applyFill="1" applyBorder="1" applyAlignment="1">
      <alignment/>
    </xf>
    <xf numFmtId="0" fontId="31" fillId="4" borderId="27" xfId="0" applyFont="1" applyFill="1" applyBorder="1" applyAlignment="1">
      <alignment/>
    </xf>
    <xf numFmtId="174" fontId="31" fillId="3" borderId="26" xfId="15" applyNumberFormat="1" applyFont="1" applyFill="1" applyBorder="1" applyAlignment="1">
      <alignment/>
    </xf>
    <xf numFmtId="174" fontId="31" fillId="3" borderId="27" xfId="15" applyNumberFormat="1" applyFont="1" applyFill="1" applyBorder="1" applyAlignment="1">
      <alignment/>
    </xf>
    <xf numFmtId="171" fontId="3" fillId="3" borderId="11" xfId="17" applyFont="1" applyFill="1" applyBorder="1" applyAlignment="1">
      <alignment/>
    </xf>
    <xf numFmtId="171" fontId="3" fillId="3" borderId="12" xfId="17" applyFont="1" applyFill="1" applyBorder="1" applyAlignment="1">
      <alignment/>
    </xf>
    <xf numFmtId="40" fontId="3" fillId="3" borderId="6" xfId="17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7" xfId="0" applyFont="1" applyBorder="1" applyAlignment="1">
      <alignment horizontal="center"/>
    </xf>
    <xf numFmtId="171" fontId="3" fillId="3" borderId="7" xfId="17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1" xfId="0" applyFont="1" applyBorder="1" applyAlignment="1">
      <alignment horizontal="center"/>
    </xf>
    <xf numFmtId="40" fontId="2" fillId="3" borderId="21" xfId="17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9" xfId="0" applyFont="1" applyBorder="1" applyAlignment="1">
      <alignment horizontal="center"/>
    </xf>
    <xf numFmtId="40" fontId="2" fillId="3" borderId="9" xfId="17" applyNumberFormat="1" applyFont="1" applyFill="1" applyBorder="1" applyAlignment="1">
      <alignment/>
    </xf>
    <xf numFmtId="40" fontId="2" fillId="3" borderId="12" xfId="17" applyNumberFormat="1" applyFont="1" applyFill="1" applyBorder="1" applyAlignment="1">
      <alignment/>
    </xf>
    <xf numFmtId="40" fontId="2" fillId="3" borderId="19" xfId="17" applyNumberFormat="1" applyFont="1" applyFill="1" applyBorder="1" applyAlignment="1">
      <alignment/>
    </xf>
    <xf numFmtId="40" fontId="2" fillId="3" borderId="11" xfId="17" applyNumberFormat="1" applyFont="1" applyFill="1" applyBorder="1" applyAlignment="1">
      <alignment/>
    </xf>
    <xf numFmtId="40" fontId="2" fillId="3" borderId="15" xfId="17" applyNumberFormat="1" applyFont="1" applyFill="1" applyBorder="1" applyAlignment="1">
      <alignment/>
    </xf>
    <xf numFmtId="40" fontId="2" fillId="3" borderId="6" xfId="17" applyNumberFormat="1" applyFont="1" applyFill="1" applyBorder="1" applyAlignment="1">
      <alignment/>
    </xf>
    <xf numFmtId="0" fontId="3" fillId="5" borderId="16" xfId="0" applyFont="1" applyFill="1" applyBorder="1" applyAlignment="1">
      <alignment/>
    </xf>
    <xf numFmtId="40" fontId="3" fillId="3" borderId="14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12" xfId="0" applyFont="1" applyBorder="1" applyAlignment="1">
      <alignment/>
    </xf>
    <xf numFmtId="171" fontId="3" fillId="0" borderId="11" xfId="17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5" borderId="6" xfId="0" applyFont="1" applyFill="1" applyBorder="1" applyAlignment="1">
      <alignment/>
    </xf>
    <xf numFmtId="0" fontId="26" fillId="5" borderId="6" xfId="0" applyFont="1" applyFill="1" applyBorder="1" applyAlignment="1">
      <alignment/>
    </xf>
    <xf numFmtId="40" fontId="3" fillId="3" borderId="6" xfId="0" applyNumberFormat="1" applyFont="1" applyFill="1" applyBorder="1" applyAlignment="1">
      <alignment/>
    </xf>
    <xf numFmtId="0" fontId="28" fillId="5" borderId="16" xfId="0" applyFont="1" applyFill="1" applyBorder="1" applyAlignment="1">
      <alignment/>
    </xf>
    <xf numFmtId="40" fontId="28" fillId="3" borderId="14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31" xfId="22" applyFont="1" applyBorder="1" applyAlignment="1">
      <alignment horizontal="center" vertical="center" wrapText="1"/>
      <protection/>
    </xf>
    <xf numFmtId="0" fontId="1" fillId="0" borderId="17" xfId="22" applyFont="1" applyBorder="1" applyAlignment="1">
      <alignment horizontal="center" vertical="center" wrapText="1"/>
      <protection/>
    </xf>
    <xf numFmtId="0" fontId="1" fillId="6" borderId="32" xfId="22" applyFont="1" applyFill="1" applyBorder="1" applyAlignment="1">
      <alignment horizontal="right"/>
      <protection/>
    </xf>
    <xf numFmtId="0" fontId="0" fillId="6" borderId="33" xfId="22" applyFont="1" applyFill="1" applyBorder="1">
      <alignment/>
      <protection/>
    </xf>
    <xf numFmtId="4" fontId="1" fillId="3" borderId="33" xfId="18" applyNumberFormat="1" applyFont="1" applyFill="1" applyBorder="1" applyAlignment="1">
      <alignment/>
    </xf>
    <xf numFmtId="4" fontId="1" fillId="3" borderId="34" xfId="18" applyNumberFormat="1" applyFont="1" applyFill="1" applyBorder="1" applyAlignment="1">
      <alignment/>
    </xf>
    <xf numFmtId="0" fontId="1" fillId="0" borderId="29" xfId="22" applyFont="1" applyBorder="1" applyAlignment="1">
      <alignment horizontal="left"/>
      <protection/>
    </xf>
    <xf numFmtId="0" fontId="0" fillId="0" borderId="35" xfId="22" applyFont="1" applyBorder="1">
      <alignment/>
      <protection/>
    </xf>
    <xf numFmtId="0" fontId="0" fillId="0" borderId="36" xfId="22" applyFont="1" applyBorder="1" applyAlignment="1">
      <alignment horizontal="center"/>
      <protection/>
    </xf>
    <xf numFmtId="4" fontId="20" fillId="3" borderId="35" xfId="18" applyNumberFormat="1" applyFont="1" applyFill="1" applyBorder="1" applyAlignment="1">
      <alignment/>
    </xf>
    <xf numFmtId="0" fontId="1" fillId="0" borderId="28" xfId="22" applyFont="1" applyBorder="1" applyAlignment="1">
      <alignment horizontal="left"/>
      <protection/>
    </xf>
    <xf numFmtId="0" fontId="0" fillId="0" borderId="37" xfId="22" applyFont="1" applyBorder="1">
      <alignment/>
      <protection/>
    </xf>
    <xf numFmtId="0" fontId="0" fillId="0" borderId="38" xfId="22" applyFont="1" applyBorder="1" applyAlignment="1">
      <alignment horizontal="center"/>
      <protection/>
    </xf>
    <xf numFmtId="4" fontId="20" fillId="3" borderId="37" xfId="18" applyNumberFormat="1" applyFont="1" applyFill="1" applyBorder="1" applyAlignment="1">
      <alignment/>
    </xf>
    <xf numFmtId="0" fontId="1" fillId="6" borderId="32" xfId="22" applyFont="1" applyFill="1" applyBorder="1" applyAlignment="1">
      <alignment horizontal="right"/>
      <protection/>
    </xf>
    <xf numFmtId="0" fontId="0" fillId="6" borderId="33" xfId="22" applyFont="1" applyFill="1" applyBorder="1">
      <alignment/>
      <protection/>
    </xf>
    <xf numFmtId="0" fontId="0" fillId="6" borderId="33" xfId="22" applyFont="1" applyFill="1" applyBorder="1" applyAlignment="1">
      <alignment horizontal="center"/>
      <protection/>
    </xf>
    <xf numFmtId="4" fontId="1" fillId="3" borderId="33" xfId="18" applyNumberFormat="1" applyFont="1" applyFill="1" applyBorder="1" applyAlignment="1">
      <alignment/>
    </xf>
    <xf numFmtId="4" fontId="1" fillId="3" borderId="34" xfId="18" applyNumberFormat="1" applyFont="1" applyFill="1" applyBorder="1" applyAlignment="1">
      <alignment/>
    </xf>
    <xf numFmtId="0" fontId="1" fillId="0" borderId="29" xfId="22" applyFont="1" applyBorder="1" applyAlignment="1">
      <alignment horizontal="right"/>
      <protection/>
    </xf>
    <xf numFmtId="4" fontId="33" fillId="3" borderId="35" xfId="18" applyNumberFormat="1" applyFont="1" applyFill="1" applyBorder="1" applyAlignment="1">
      <alignment/>
    </xf>
    <xf numFmtId="0" fontId="1" fillId="0" borderId="10" xfId="22" applyFont="1" applyBorder="1" applyAlignment="1">
      <alignment horizontal="right"/>
      <protection/>
    </xf>
    <xf numFmtId="0" fontId="0" fillId="0" borderId="39" xfId="22" applyFont="1" applyBorder="1">
      <alignment/>
      <protection/>
    </xf>
    <xf numFmtId="0" fontId="0" fillId="0" borderId="40" xfId="22" applyFont="1" applyBorder="1" applyAlignment="1">
      <alignment horizontal="center"/>
      <protection/>
    </xf>
    <xf numFmtId="4" fontId="20" fillId="3" borderId="39" xfId="18" applyNumberFormat="1" applyFont="1" applyFill="1" applyBorder="1" applyAlignment="1">
      <alignment/>
    </xf>
    <xf numFmtId="0" fontId="34" fillId="0" borderId="41" xfId="0" applyFont="1" applyBorder="1" applyAlignment="1">
      <alignment/>
    </xf>
    <xf numFmtId="0" fontId="1" fillId="0" borderId="28" xfId="22" applyFont="1" applyBorder="1" applyAlignment="1">
      <alignment horizontal="right"/>
      <protection/>
    </xf>
    <xf numFmtId="0" fontId="1" fillId="0" borderId="42" xfId="22" applyFont="1" applyBorder="1" applyAlignment="1">
      <alignment horizontal="right"/>
      <protection/>
    </xf>
    <xf numFmtId="0" fontId="0" fillId="0" borderId="41" xfId="22" applyFont="1" applyBorder="1">
      <alignment/>
      <protection/>
    </xf>
    <xf numFmtId="0" fontId="0" fillId="0" borderId="43" xfId="22" applyFont="1" applyBorder="1" applyAlignment="1">
      <alignment horizontal="center"/>
      <protection/>
    </xf>
    <xf numFmtId="4" fontId="20" fillId="3" borderId="41" xfId="18" applyNumberFormat="1" applyFont="1" applyFill="1" applyBorder="1" applyAlignment="1" applyProtection="1">
      <alignment/>
      <protection locked="0"/>
    </xf>
    <xf numFmtId="175" fontId="20" fillId="3" borderId="44" xfId="18" applyNumberFormat="1" applyFont="1" applyFill="1" applyBorder="1" applyAlignment="1" applyProtection="1">
      <alignment/>
      <protection locked="0"/>
    </xf>
    <xf numFmtId="4" fontId="20" fillId="3" borderId="39" xfId="18" applyNumberFormat="1" applyFont="1" applyFill="1" applyBorder="1" applyAlignment="1">
      <alignment/>
    </xf>
    <xf numFmtId="175" fontId="20" fillId="3" borderId="21" xfId="18" applyNumberFormat="1" applyFont="1" applyFill="1" applyBorder="1" applyAlignment="1" applyProtection="1">
      <alignment/>
      <protection locked="0"/>
    </xf>
    <xf numFmtId="4" fontId="20" fillId="3" borderId="37" xfId="18" applyNumberFormat="1" applyFont="1" applyFill="1" applyBorder="1" applyAlignment="1" applyProtection="1">
      <alignment/>
      <protection locked="0"/>
    </xf>
    <xf numFmtId="0" fontId="22" fillId="6" borderId="45" xfId="22" applyFont="1" applyFill="1" applyBorder="1" applyAlignment="1">
      <alignment horizontal="left"/>
      <protection/>
    </xf>
    <xf numFmtId="4" fontId="20" fillId="3" borderId="35" xfId="18" applyNumberFormat="1" applyFont="1" applyFill="1" applyBorder="1" applyAlignment="1" applyProtection="1">
      <alignment/>
      <protection locked="0"/>
    </xf>
    <xf numFmtId="0" fontId="1" fillId="0" borderId="10" xfId="22" applyFont="1" applyBorder="1">
      <alignment/>
      <protection/>
    </xf>
    <xf numFmtId="0" fontId="1" fillId="0" borderId="29" xfId="22" applyFont="1" applyBorder="1">
      <alignment/>
      <protection/>
    </xf>
    <xf numFmtId="0" fontId="1" fillId="0" borderId="42" xfId="22" applyFont="1" applyBorder="1">
      <alignment/>
      <protection/>
    </xf>
    <xf numFmtId="4" fontId="1" fillId="3" borderId="41" xfId="18" applyNumberFormat="1" applyFont="1" applyFill="1" applyBorder="1" applyAlignment="1">
      <alignment/>
    </xf>
    <xf numFmtId="4" fontId="1" fillId="3" borderId="33" xfId="18" applyNumberFormat="1" applyFont="1" applyFill="1" applyBorder="1" applyAlignment="1" applyProtection="1">
      <alignment/>
      <protection locked="0"/>
    </xf>
    <xf numFmtId="4" fontId="1" fillId="3" borderId="34" xfId="18" applyNumberFormat="1" applyFont="1" applyFill="1" applyBorder="1" applyAlignment="1" applyProtection="1">
      <alignment/>
      <protection locked="0"/>
    </xf>
    <xf numFmtId="0" fontId="1" fillId="0" borderId="10" xfId="22" applyFont="1" applyBorder="1" applyAlignment="1">
      <alignment horizontal="left"/>
      <protection/>
    </xf>
    <xf numFmtId="4" fontId="20" fillId="3" borderId="39" xfId="18" applyNumberFormat="1" applyFont="1" applyFill="1" applyBorder="1" applyAlignment="1" applyProtection="1">
      <alignment/>
      <protection locked="0"/>
    </xf>
    <xf numFmtId="4" fontId="1" fillId="3" borderId="39" xfId="18" applyNumberFormat="1" applyFont="1" applyFill="1" applyBorder="1" applyAlignment="1">
      <alignment/>
    </xf>
    <xf numFmtId="0" fontId="3" fillId="0" borderId="29" xfId="22" applyFont="1" applyBorder="1" applyAlignment="1">
      <alignment horizontal="right"/>
      <protection/>
    </xf>
    <xf numFmtId="0" fontId="0" fillId="0" borderId="35" xfId="22" applyFont="1" applyBorder="1">
      <alignment/>
      <protection/>
    </xf>
    <xf numFmtId="0" fontId="0" fillId="0" borderId="36" xfId="22" applyFont="1" applyBorder="1" applyAlignment="1">
      <alignment horizontal="center"/>
      <protection/>
    </xf>
    <xf numFmtId="4" fontId="3" fillId="3" borderId="35" xfId="18" applyNumberFormat="1" applyFont="1" applyFill="1" applyBorder="1" applyAlignment="1" applyProtection="1">
      <alignment/>
      <protection locked="0"/>
    </xf>
    <xf numFmtId="4" fontId="20" fillId="3" borderId="46" xfId="18" applyNumberFormat="1" applyFont="1" applyFill="1" applyBorder="1" applyAlignment="1" applyProtection="1">
      <alignment/>
      <protection locked="0"/>
    </xf>
    <xf numFmtId="0" fontId="0" fillId="0" borderId="39" xfId="22" applyFont="1" applyBorder="1">
      <alignment/>
      <protection/>
    </xf>
    <xf numFmtId="4" fontId="20" fillId="3" borderId="39" xfId="18" applyNumberFormat="1" applyFont="1" applyFill="1" applyBorder="1" applyAlignment="1" applyProtection="1">
      <alignment/>
      <protection locked="0"/>
    </xf>
    <xf numFmtId="0" fontId="1" fillId="0" borderId="10" xfId="22" applyFont="1" applyFill="1" applyBorder="1" applyAlignment="1">
      <alignment horizontal="right"/>
      <protection/>
    </xf>
    <xf numFmtId="0" fontId="1" fillId="0" borderId="47" xfId="22" applyFont="1" applyBorder="1" applyAlignment="1">
      <alignment horizontal="left"/>
      <protection/>
    </xf>
    <xf numFmtId="0" fontId="0" fillId="0" borderId="48" xfId="22" applyFont="1" applyBorder="1">
      <alignment/>
      <protection/>
    </xf>
    <xf numFmtId="0" fontId="0" fillId="0" borderId="49" xfId="22" applyFont="1" applyBorder="1" applyAlignment="1">
      <alignment horizontal="center"/>
      <protection/>
    </xf>
    <xf numFmtId="4" fontId="0" fillId="3" borderId="48" xfId="18" applyNumberFormat="1" applyFill="1" applyBorder="1" applyAlignment="1" applyProtection="1">
      <alignment/>
      <protection locked="0"/>
    </xf>
    <xf numFmtId="0" fontId="3" fillId="6" borderId="45" xfId="22" applyFont="1" applyFill="1" applyBorder="1">
      <alignment/>
      <protection/>
    </xf>
    <xf numFmtId="0" fontId="1" fillId="6" borderId="50" xfId="22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" fillId="0" borderId="51" xfId="22" applyFont="1" applyBorder="1">
      <alignment/>
      <protection/>
    </xf>
    <xf numFmtId="0" fontId="0" fillId="0" borderId="52" xfId="22" applyFont="1" applyFill="1" applyBorder="1">
      <alignment/>
      <protection/>
    </xf>
    <xf numFmtId="0" fontId="0" fillId="0" borderId="53" xfId="22" applyFont="1" applyFill="1" applyBorder="1" applyAlignment="1">
      <alignment horizontal="center"/>
      <protection/>
    </xf>
    <xf numFmtId="4" fontId="0" fillId="3" borderId="52" xfId="18" applyNumberFormat="1" applyFont="1" applyFill="1" applyBorder="1" applyAlignment="1" applyProtection="1">
      <alignment/>
      <protection locked="0"/>
    </xf>
    <xf numFmtId="0" fontId="1" fillId="0" borderId="10" xfId="22" applyFont="1" applyFill="1" applyBorder="1">
      <alignment/>
      <protection/>
    </xf>
    <xf numFmtId="0" fontId="0" fillId="0" borderId="39" xfId="22" applyFont="1" applyFill="1" applyBorder="1">
      <alignment/>
      <protection/>
    </xf>
    <xf numFmtId="0" fontId="0" fillId="0" borderId="40" xfId="22" applyFont="1" applyFill="1" applyBorder="1" applyAlignment="1">
      <alignment horizontal="center"/>
      <protection/>
    </xf>
    <xf numFmtId="0" fontId="0" fillId="0" borderId="40" xfId="22" applyFont="1" applyFill="1" applyBorder="1" applyAlignment="1">
      <alignment horizontal="center"/>
      <protection/>
    </xf>
    <xf numFmtId="0" fontId="0" fillId="0" borderId="40" xfId="22" applyFill="1" applyBorder="1" applyAlignment="1">
      <alignment horizontal="center"/>
      <protection/>
    </xf>
    <xf numFmtId="0" fontId="1" fillId="0" borderId="28" xfId="22" applyFont="1" applyBorder="1">
      <alignment/>
      <protection/>
    </xf>
    <xf numFmtId="0" fontId="1" fillId="4" borderId="32" xfId="22" applyFont="1" applyFill="1" applyBorder="1">
      <alignment/>
      <protection/>
    </xf>
    <xf numFmtId="0" fontId="0" fillId="4" borderId="33" xfId="0" applyFont="1" applyFill="1" applyBorder="1" applyAlignment="1">
      <alignment/>
    </xf>
    <xf numFmtId="0" fontId="0" fillId="4" borderId="33" xfId="22" applyFont="1" applyFill="1" applyBorder="1" applyAlignment="1">
      <alignment horizontal="center"/>
      <protection/>
    </xf>
    <xf numFmtId="4" fontId="1" fillId="3" borderId="33" xfId="18" applyNumberFormat="1" applyFont="1" applyFill="1" applyBorder="1" applyAlignment="1" applyProtection="1">
      <alignment/>
      <protection locked="0"/>
    </xf>
    <xf numFmtId="0" fontId="1" fillId="6" borderId="32" xfId="22" applyFont="1" applyFill="1" applyBorder="1">
      <alignment/>
      <protection/>
    </xf>
    <xf numFmtId="1" fontId="0" fillId="6" borderId="33" xfId="21" applyNumberFormat="1" applyFont="1" applyFill="1" applyBorder="1">
      <alignment/>
      <protection/>
    </xf>
    <xf numFmtId="0" fontId="1" fillId="0" borderId="29" xfId="22" applyFont="1" applyBorder="1">
      <alignment/>
      <protection/>
    </xf>
    <xf numFmtId="0" fontId="0" fillId="0" borderId="36" xfId="22" applyBorder="1" applyAlignment="1">
      <alignment horizontal="center"/>
      <protection/>
    </xf>
    <xf numFmtId="0" fontId="0" fillId="0" borderId="40" xfId="22" applyBorder="1" applyAlignment="1">
      <alignment horizontal="center"/>
      <protection/>
    </xf>
    <xf numFmtId="176" fontId="1" fillId="0" borderId="10" xfId="22" applyNumberFormat="1" applyFont="1" applyBorder="1">
      <alignment/>
      <protection/>
    </xf>
    <xf numFmtId="4" fontId="35" fillId="3" borderId="39" xfId="18" applyNumberFormat="1" applyFont="1" applyFill="1" applyBorder="1" applyAlignment="1" applyProtection="1">
      <alignment/>
      <protection locked="0"/>
    </xf>
    <xf numFmtId="176" fontId="1" fillId="0" borderId="28" xfId="22" applyNumberFormat="1" applyFont="1" applyBorder="1">
      <alignment/>
      <protection/>
    </xf>
    <xf numFmtId="0" fontId="0" fillId="0" borderId="38" xfId="22" applyBorder="1" applyAlignment="1">
      <alignment horizontal="center"/>
      <protection/>
    </xf>
    <xf numFmtId="176" fontId="1" fillId="6" borderId="32" xfId="22" applyNumberFormat="1" applyFont="1" applyFill="1" applyBorder="1">
      <alignment/>
      <protection/>
    </xf>
    <xf numFmtId="0" fontId="1" fillId="6" borderId="33" xfId="0" applyFont="1" applyFill="1" applyBorder="1" applyAlignment="1">
      <alignment/>
    </xf>
    <xf numFmtId="0" fontId="1" fillId="6" borderId="33" xfId="22" applyFont="1" applyFill="1" applyBorder="1">
      <alignment/>
      <protection/>
    </xf>
    <xf numFmtId="176" fontId="1" fillId="0" borderId="29" xfId="22" applyNumberFormat="1" applyFont="1" applyBorder="1">
      <alignment/>
      <protection/>
    </xf>
    <xf numFmtId="175" fontId="0" fillId="3" borderId="9" xfId="18" applyNumberFormat="1" applyFill="1" applyBorder="1" applyAlignment="1" applyProtection="1">
      <alignment/>
      <protection locked="0"/>
    </xf>
    <xf numFmtId="175" fontId="0" fillId="3" borderId="12" xfId="18" applyNumberFormat="1" applyFill="1" applyBorder="1" applyAlignment="1" applyProtection="1">
      <alignment/>
      <protection locked="0"/>
    </xf>
    <xf numFmtId="176" fontId="1" fillId="6" borderId="32" xfId="22" applyNumberFormat="1" applyFont="1" applyFill="1" applyBorder="1">
      <alignment/>
      <protection/>
    </xf>
    <xf numFmtId="1" fontId="3" fillId="6" borderId="33" xfId="17" applyNumberFormat="1" applyFont="1" applyFill="1" applyBorder="1" applyAlignment="1">
      <alignment/>
    </xf>
    <xf numFmtId="0" fontId="1" fillId="6" borderId="33" xfId="22" applyFont="1" applyFill="1" applyBorder="1" applyAlignment="1">
      <alignment horizontal="center"/>
      <protection/>
    </xf>
    <xf numFmtId="176" fontId="1" fillId="0" borderId="47" xfId="22" applyNumberFormat="1" applyFont="1" applyBorder="1">
      <alignment/>
      <protection/>
    </xf>
    <xf numFmtId="1" fontId="3" fillId="0" borderId="17" xfId="17" applyNumberFormat="1" applyFont="1" applyFill="1" applyBorder="1" applyAlignment="1">
      <alignment/>
    </xf>
    <xf numFmtId="0" fontId="0" fillId="0" borderId="49" xfId="22" applyBorder="1" applyAlignment="1">
      <alignment horizontal="center"/>
      <protection/>
    </xf>
    <xf numFmtId="175" fontId="0" fillId="3" borderId="54" xfId="18" applyNumberFormat="1" applyFill="1" applyBorder="1" applyAlignment="1" applyProtection="1">
      <alignment/>
      <protection locked="0"/>
    </xf>
    <xf numFmtId="176" fontId="18" fillId="6" borderId="55" xfId="22" applyNumberFormat="1" applyFont="1" applyFill="1" applyBorder="1">
      <alignment/>
      <protection/>
    </xf>
    <xf numFmtId="1" fontId="28" fillId="6" borderId="56" xfId="17" applyNumberFormat="1" applyFont="1" applyFill="1" applyBorder="1" applyAlignment="1">
      <alignment/>
    </xf>
    <xf numFmtId="0" fontId="36" fillId="6" borderId="56" xfId="22" applyFont="1" applyFill="1" applyBorder="1" applyAlignment="1">
      <alignment horizontal="center"/>
      <protection/>
    </xf>
    <xf numFmtId="4" fontId="1" fillId="3" borderId="56" xfId="18" applyNumberFormat="1" applyFont="1" applyFill="1" applyBorder="1" applyAlignment="1" applyProtection="1">
      <alignment/>
      <protection locked="0"/>
    </xf>
    <xf numFmtId="4" fontId="1" fillId="3" borderId="57" xfId="18" applyNumberFormat="1" applyFont="1" applyFill="1" applyBorder="1" applyAlignment="1" applyProtection="1">
      <alignment/>
      <protection locked="0"/>
    </xf>
    <xf numFmtId="49" fontId="13" fillId="0" borderId="5" xfId="0" applyNumberFormat="1" applyFont="1" applyBorder="1" applyAlignment="1">
      <alignment horizontal="left" wrapText="1"/>
    </xf>
    <xf numFmtId="0" fontId="0" fillId="0" borderId="5" xfId="0" applyBorder="1" applyAlignment="1">
      <alignment/>
    </xf>
    <xf numFmtId="0" fontId="38" fillId="0" borderId="5" xfId="0" applyFont="1" applyBorder="1" applyAlignment="1">
      <alignment horizontal="left" vertical="center"/>
    </xf>
    <xf numFmtId="3" fontId="0" fillId="0" borderId="0" xfId="15" applyNumberFormat="1" applyAlignment="1">
      <alignment/>
    </xf>
    <xf numFmtId="171" fontId="0" fillId="0" borderId="0" xfId="15" applyAlignment="1">
      <alignment/>
    </xf>
    <xf numFmtId="3" fontId="9" fillId="3" borderId="5" xfId="0" applyNumberFormat="1" applyFont="1" applyFill="1" applyBorder="1" applyAlignment="1">
      <alignment/>
    </xf>
    <xf numFmtId="49" fontId="17" fillId="0" borderId="5" xfId="0" applyNumberFormat="1" applyFont="1" applyBorder="1" applyAlignment="1">
      <alignment horizontal="left" wrapText="1"/>
    </xf>
    <xf numFmtId="4" fontId="5" fillId="0" borderId="5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39" fontId="5" fillId="0" borderId="5" xfId="0" applyNumberFormat="1" applyFont="1" applyBorder="1" applyAlignment="1">
      <alignment/>
    </xf>
    <xf numFmtId="37" fontId="5" fillId="0" borderId="5" xfId="0" applyNumberFormat="1" applyFont="1" applyBorder="1" applyAlignment="1">
      <alignment horizontal="right"/>
    </xf>
    <xf numFmtId="0" fontId="20" fillId="0" borderId="5" xfId="0" applyFont="1" applyBorder="1" applyAlignment="1">
      <alignment vertical="center"/>
    </xf>
    <xf numFmtId="3" fontId="9" fillId="7" borderId="5" xfId="0" applyNumberFormat="1" applyFont="1" applyFill="1" applyBorder="1" applyAlignment="1">
      <alignment/>
    </xf>
    <xf numFmtId="3" fontId="13" fillId="7" borderId="5" xfId="0" applyNumberFormat="1" applyFont="1" applyFill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7" borderId="5" xfId="0" applyNumberFormat="1" applyFont="1" applyFill="1" applyBorder="1" applyAlignment="1">
      <alignment/>
    </xf>
    <xf numFmtId="0" fontId="36" fillId="0" borderId="0" xfId="0" applyFont="1" applyAlignment="1">
      <alignment/>
    </xf>
    <xf numFmtId="3" fontId="37" fillId="7" borderId="5" xfId="0" applyNumberFormat="1" applyFont="1" applyFill="1" applyBorder="1" applyAlignment="1">
      <alignment/>
    </xf>
    <xf numFmtId="0" fontId="36" fillId="0" borderId="5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3" fontId="37" fillId="1" borderId="5" xfId="0" applyNumberFormat="1" applyFont="1" applyFill="1" applyBorder="1" applyAlignment="1">
      <alignment/>
    </xf>
    <xf numFmtId="0" fontId="36" fillId="0" borderId="5" xfId="0" applyFont="1" applyBorder="1" applyAlignment="1">
      <alignment vertical="center"/>
    </xf>
    <xf numFmtId="3" fontId="41" fillId="0" borderId="5" xfId="0" applyNumberFormat="1" applyFont="1" applyBorder="1" applyAlignment="1">
      <alignment/>
    </xf>
    <xf numFmtId="0" fontId="42" fillId="0" borderId="5" xfId="0" applyFont="1" applyBorder="1" applyAlignment="1">
      <alignment/>
    </xf>
    <xf numFmtId="0" fontId="42" fillId="0" borderId="0" xfId="0" applyFont="1" applyAlignment="1">
      <alignment/>
    </xf>
    <xf numFmtId="3" fontId="8" fillId="0" borderId="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/>
    </xf>
    <xf numFmtId="0" fontId="0" fillId="3" borderId="0" xfId="0" applyFill="1" applyBorder="1" applyAlignment="1">
      <alignment/>
    </xf>
    <xf numFmtId="49" fontId="8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/>
    </xf>
    <xf numFmtId="3" fontId="13" fillId="0" borderId="5" xfId="0" applyNumberFormat="1" applyFont="1" applyBorder="1" applyAlignment="1">
      <alignment horizontal="center"/>
    </xf>
    <xf numFmtId="3" fontId="13" fillId="0" borderId="5" xfId="0" applyNumberFormat="1" applyFont="1" applyBorder="1" applyAlignment="1" quotePrefix="1">
      <alignment horizontal="left"/>
    </xf>
    <xf numFmtId="0" fontId="43" fillId="0" borderId="5" xfId="0" applyFont="1" applyBorder="1" applyAlignment="1">
      <alignment vertical="center"/>
    </xf>
    <xf numFmtId="0" fontId="44" fillId="0" borderId="5" xfId="0" applyFont="1" applyBorder="1" applyAlignment="1">
      <alignment horizontal="left" vertical="center"/>
    </xf>
    <xf numFmtId="3" fontId="41" fillId="0" borderId="5" xfId="0" applyNumberFormat="1" applyFont="1" applyBorder="1" applyAlignment="1" quotePrefix="1">
      <alignment horizontal="left"/>
    </xf>
    <xf numFmtId="0" fontId="39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8" fillId="0" borderId="0" xfId="0" applyFont="1" applyBorder="1" applyAlignment="1">
      <alignment/>
    </xf>
    <xf numFmtId="49" fontId="4" fillId="0" borderId="5" xfId="0" applyNumberFormat="1" applyFont="1" applyBorder="1" applyAlignment="1">
      <alignment horizontal="left" wrapText="1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5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10" fillId="1" borderId="5" xfId="0" applyNumberFormat="1" applyFont="1" applyFill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77" fontId="5" fillId="0" borderId="5" xfId="0" applyNumberFormat="1" applyFont="1" applyBorder="1" applyAlignment="1">
      <alignment horizontal="right"/>
    </xf>
    <xf numFmtId="37" fontId="13" fillId="0" borderId="5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37" fillId="1" borderId="5" xfId="0" applyNumberFormat="1" applyFont="1" applyFill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41" fillId="0" borderId="5" xfId="0" applyNumberFormat="1" applyFont="1" applyBorder="1" applyAlignment="1">
      <alignment horizontal="right"/>
    </xf>
    <xf numFmtId="3" fontId="37" fillId="7" borderId="5" xfId="0" applyNumberFormat="1" applyFont="1" applyFill="1" applyBorder="1" applyAlignment="1">
      <alignment horizontal="right"/>
    </xf>
    <xf numFmtId="3" fontId="13" fillId="7" borderId="5" xfId="0" applyNumberFormat="1" applyFont="1" applyFill="1" applyBorder="1" applyAlignment="1">
      <alignment horizontal="right"/>
    </xf>
    <xf numFmtId="3" fontId="13" fillId="7" borderId="5" xfId="0" applyNumberFormat="1" applyFont="1" applyFill="1" applyBorder="1" applyAlignment="1">
      <alignment horizontal="right"/>
    </xf>
    <xf numFmtId="3" fontId="9" fillId="7" borderId="5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3" fontId="9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38" fontId="2" fillId="3" borderId="11" xfId="15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left" wrapText="1"/>
    </xf>
    <xf numFmtId="3" fontId="13" fillId="3" borderId="5" xfId="0" applyNumberFormat="1" applyFont="1" applyFill="1" applyBorder="1" applyAlignment="1">
      <alignment horizontal="right"/>
    </xf>
    <xf numFmtId="3" fontId="13" fillId="3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 vertical="center"/>
    </xf>
    <xf numFmtId="0" fontId="12" fillId="0" borderId="43" xfId="0" applyFont="1" applyBorder="1" applyAlignment="1">
      <alignment horizontal="center"/>
    </xf>
    <xf numFmtId="3" fontId="31" fillId="0" borderId="58" xfId="0" applyNumberFormat="1" applyFont="1" applyBorder="1" applyAlignment="1">
      <alignment/>
    </xf>
    <xf numFmtId="3" fontId="0" fillId="0" borderId="58" xfId="15" applyNumberFormat="1" applyFont="1" applyBorder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15" applyNumberFormat="1" applyFont="1" applyBorder="1" applyAlignment="1">
      <alignment/>
    </xf>
    <xf numFmtId="3" fontId="31" fillId="0" borderId="5" xfId="0" applyNumberFormat="1" applyFont="1" applyBorder="1" applyAlignment="1">
      <alignment/>
    </xf>
    <xf numFmtId="3" fontId="1" fillId="0" borderId="58" xfId="15" applyNumberFormat="1" applyFont="1" applyBorder="1" applyAlignment="1">
      <alignment/>
    </xf>
    <xf numFmtId="0" fontId="25" fillId="0" borderId="0" xfId="0" applyFont="1" applyBorder="1" applyAlignment="1">
      <alignment/>
    </xf>
    <xf numFmtId="171" fontId="25" fillId="0" borderId="0" xfId="15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0" fillId="0" borderId="61" xfId="0" applyBorder="1" applyAlignment="1">
      <alignment/>
    </xf>
    <xf numFmtId="0" fontId="6" fillId="0" borderId="6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63" xfId="0" applyBorder="1" applyAlignment="1">
      <alignment/>
    </xf>
    <xf numFmtId="0" fontId="6" fillId="0" borderId="64" xfId="0" applyFont="1" applyBorder="1" applyAlignment="1">
      <alignment/>
    </xf>
    <xf numFmtId="0" fontId="6" fillId="0" borderId="65" xfId="0" applyFont="1" applyBorder="1" applyAlignment="1">
      <alignment/>
    </xf>
    <xf numFmtId="3" fontId="6" fillId="0" borderId="65" xfId="0" applyNumberFormat="1" applyFont="1" applyBorder="1" applyAlignment="1">
      <alignment/>
    </xf>
    <xf numFmtId="0" fontId="0" fillId="0" borderId="66" xfId="0" applyBorder="1" applyAlignment="1">
      <alignment/>
    </xf>
    <xf numFmtId="0" fontId="4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63" xfId="0" applyFont="1" applyBorder="1" applyAlignment="1">
      <alignment/>
    </xf>
    <xf numFmtId="0" fontId="6" fillId="0" borderId="0" xfId="0" applyFont="1" applyBorder="1" applyAlignment="1">
      <alignment/>
    </xf>
    <xf numFmtId="0" fontId="49" fillId="0" borderId="0" xfId="0" applyFont="1" applyBorder="1" applyAlignment="1">
      <alignment/>
    </xf>
    <xf numFmtId="14" fontId="49" fillId="0" borderId="0" xfId="0" applyNumberFormat="1" applyFont="1" applyBorder="1" applyAlignment="1">
      <alignment/>
    </xf>
    <xf numFmtId="0" fontId="36" fillId="0" borderId="5" xfId="0" applyFont="1" applyBorder="1" applyAlignment="1">
      <alignment/>
    </xf>
    <xf numFmtId="0" fontId="36" fillId="0" borderId="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/>
    </xf>
    <xf numFmtId="49" fontId="51" fillId="0" borderId="5" xfId="0" applyNumberFormat="1" applyFont="1" applyBorder="1" applyAlignment="1">
      <alignment horizontal="left" wrapText="1"/>
    </xf>
    <xf numFmtId="49" fontId="52" fillId="0" borderId="5" xfId="0" applyNumberFormat="1" applyFont="1" applyBorder="1" applyAlignment="1">
      <alignment horizontal="left" wrapText="1"/>
    </xf>
    <xf numFmtId="49" fontId="51" fillId="0" borderId="5" xfId="0" applyNumberFormat="1" applyFont="1" applyBorder="1" applyAlignment="1">
      <alignment horizontal="center" wrapText="1"/>
    </xf>
    <xf numFmtId="3" fontId="51" fillId="0" borderId="5" xfId="0" applyNumberFormat="1" applyFont="1" applyBorder="1" applyAlignment="1">
      <alignment horizontal="right"/>
    </xf>
    <xf numFmtId="0" fontId="40" fillId="0" borderId="5" xfId="0" applyFont="1" applyBorder="1" applyAlignment="1">
      <alignment/>
    </xf>
    <xf numFmtId="0" fontId="8" fillId="0" borderId="5" xfId="0" applyFont="1" applyBorder="1" applyAlignment="1">
      <alignment horizontal="left" vertical="center"/>
    </xf>
    <xf numFmtId="3" fontId="51" fillId="0" borderId="5" xfId="0" applyNumberFormat="1" applyFont="1" applyBorder="1" applyAlignment="1">
      <alignment horizontal="center"/>
    </xf>
    <xf numFmtId="3" fontId="51" fillId="0" borderId="5" xfId="0" applyNumberFormat="1" applyFont="1" applyBorder="1" applyAlignment="1">
      <alignment horizontal="right"/>
    </xf>
    <xf numFmtId="49" fontId="53" fillId="0" borderId="5" xfId="0" applyNumberFormat="1" applyFont="1" applyBorder="1" applyAlignment="1">
      <alignment horizont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40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3" fontId="53" fillId="7" borderId="5" xfId="0" applyNumberFormat="1" applyFont="1" applyFill="1" applyBorder="1" applyAlignment="1">
      <alignment/>
    </xf>
    <xf numFmtId="3" fontId="53" fillId="7" borderId="5" xfId="0" applyNumberFormat="1" applyFont="1" applyFill="1" applyBorder="1" applyAlignment="1">
      <alignment horizontal="right"/>
    </xf>
    <xf numFmtId="3" fontId="51" fillId="0" borderId="5" xfId="0" applyNumberFormat="1" applyFont="1" applyBorder="1" applyAlignment="1">
      <alignment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51" fillId="0" borderId="5" xfId="0" applyFont="1" applyBorder="1" applyAlignment="1">
      <alignment horizontal="left"/>
    </xf>
    <xf numFmtId="0" fontId="51" fillId="0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/>
    </xf>
    <xf numFmtId="0" fontId="54" fillId="0" borderId="5" xfId="0" applyFont="1" applyBorder="1" applyAlignment="1">
      <alignment/>
    </xf>
    <xf numFmtId="0" fontId="53" fillId="0" borderId="5" xfId="0" applyFont="1" applyBorder="1" applyAlignment="1">
      <alignment horizontal="left"/>
    </xf>
    <xf numFmtId="49" fontId="53" fillId="0" borderId="5" xfId="0" applyNumberFormat="1" applyFont="1" applyBorder="1" applyAlignment="1">
      <alignment horizontal="left" wrapText="1"/>
    </xf>
    <xf numFmtId="49" fontId="53" fillId="0" borderId="5" xfId="0" applyNumberFormat="1" applyFont="1" applyBorder="1" applyAlignment="1">
      <alignment horizontal="left" wrapText="1"/>
    </xf>
    <xf numFmtId="3" fontId="53" fillId="0" borderId="5" xfId="0" applyNumberFormat="1" applyFont="1" applyBorder="1" applyAlignment="1">
      <alignment/>
    </xf>
    <xf numFmtId="3" fontId="53" fillId="0" borderId="5" xfId="0" applyNumberFormat="1" applyFont="1" applyBorder="1" applyAlignment="1">
      <alignment horizontal="right"/>
    </xf>
    <xf numFmtId="0" fontId="51" fillId="0" borderId="5" xfId="0" applyFont="1" applyBorder="1" applyAlignment="1">
      <alignment/>
    </xf>
    <xf numFmtId="3" fontId="51" fillId="0" borderId="5" xfId="0" applyNumberFormat="1" applyFont="1" applyBorder="1" applyAlignment="1">
      <alignment/>
    </xf>
    <xf numFmtId="0" fontId="53" fillId="0" borderId="5" xfId="0" applyFont="1" applyBorder="1" applyAlignment="1">
      <alignment/>
    </xf>
    <xf numFmtId="0" fontId="0" fillId="0" borderId="5" xfId="0" applyBorder="1" applyAlignment="1">
      <alignment/>
    </xf>
    <xf numFmtId="0" fontId="5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wrapText="1"/>
    </xf>
    <xf numFmtId="1" fontId="51" fillId="0" borderId="5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left" wrapText="1"/>
    </xf>
    <xf numFmtId="0" fontId="51" fillId="3" borderId="5" xfId="0" applyFont="1" applyFill="1" applyBorder="1" applyAlignment="1">
      <alignment horizontal="left" vertical="center"/>
    </xf>
    <xf numFmtId="0" fontId="51" fillId="3" borderId="5" xfId="0" applyFont="1" applyFill="1" applyBorder="1" applyAlignment="1">
      <alignment horizontal="left"/>
    </xf>
    <xf numFmtId="0" fontId="5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0" fillId="0" borderId="5" xfId="0" applyFont="1" applyBorder="1" applyAlignment="1">
      <alignment horizontal="left" vertical="center"/>
    </xf>
    <xf numFmtId="49" fontId="7" fillId="0" borderId="0" xfId="0" applyNumberFormat="1" applyFont="1" applyFill="1" applyAlignment="1">
      <alignment wrapText="1"/>
    </xf>
    <xf numFmtId="0" fontId="21" fillId="3" borderId="13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3" borderId="33" xfId="22" applyFont="1" applyFill="1" applyBorder="1">
      <alignment/>
      <protection/>
    </xf>
    <xf numFmtId="0" fontId="0" fillId="3" borderId="67" xfId="0" applyFont="1" applyFill="1" applyBorder="1" applyAlignment="1">
      <alignment/>
    </xf>
    <xf numFmtId="4" fontId="0" fillId="3" borderId="68" xfId="15" applyNumberFormat="1" applyFont="1" applyFill="1" applyBorder="1" applyAlignment="1">
      <alignment/>
    </xf>
    <xf numFmtId="0" fontId="0" fillId="3" borderId="69" xfId="0" applyFont="1" applyFill="1" applyBorder="1" applyAlignment="1">
      <alignment/>
    </xf>
    <xf numFmtId="0" fontId="0" fillId="3" borderId="70" xfId="0" applyFont="1" applyFill="1" applyBorder="1" applyAlignment="1">
      <alignment/>
    </xf>
    <xf numFmtId="4" fontId="0" fillId="3" borderId="71" xfId="15" applyNumberFormat="1" applyFont="1" applyFill="1" applyBorder="1" applyAlignment="1">
      <alignment/>
    </xf>
    <xf numFmtId="0" fontId="0" fillId="3" borderId="72" xfId="0" applyFont="1" applyFill="1" applyBorder="1" applyAlignment="1">
      <alignment/>
    </xf>
    <xf numFmtId="4" fontId="0" fillId="3" borderId="73" xfId="15" applyNumberFormat="1" applyFont="1" applyFill="1" applyBorder="1" applyAlignment="1">
      <alignment/>
    </xf>
    <xf numFmtId="0" fontId="0" fillId="3" borderId="67" xfId="22" applyFont="1" applyFill="1" applyBorder="1">
      <alignment/>
      <protection/>
    </xf>
    <xf numFmtId="4" fontId="0" fillId="3" borderId="68" xfId="0" applyNumberFormat="1" applyFont="1" applyFill="1" applyBorder="1" applyAlignment="1">
      <alignment/>
    </xf>
    <xf numFmtId="0" fontId="0" fillId="3" borderId="74" xfId="0" applyFont="1" applyFill="1" applyBorder="1" applyAlignment="1">
      <alignment/>
    </xf>
    <xf numFmtId="4" fontId="0" fillId="3" borderId="75" xfId="0" applyNumberFormat="1" applyFont="1" applyFill="1" applyBorder="1" applyAlignment="1">
      <alignment/>
    </xf>
    <xf numFmtId="4" fontId="0" fillId="3" borderId="73" xfId="0" applyNumberFormat="1" applyFont="1" applyFill="1" applyBorder="1" applyAlignment="1">
      <alignment/>
    </xf>
    <xf numFmtId="9" fontId="1" fillId="3" borderId="33" xfId="22" applyNumberFormat="1" applyFont="1" applyFill="1" applyBorder="1">
      <alignment/>
      <protection/>
    </xf>
    <xf numFmtId="0" fontId="1" fillId="3" borderId="56" xfId="22" applyFont="1" applyFill="1" applyBorder="1">
      <alignment/>
      <protection/>
    </xf>
    <xf numFmtId="4" fontId="1" fillId="3" borderId="57" xfId="18" applyNumberFormat="1" applyFont="1" applyFill="1" applyBorder="1" applyAlignment="1">
      <alignment/>
    </xf>
    <xf numFmtId="171" fontId="2" fillId="3" borderId="11" xfId="17" applyFont="1" applyFill="1" applyBorder="1" applyAlignment="1">
      <alignment/>
    </xf>
    <xf numFmtId="3" fontId="0" fillId="3" borderId="0" xfId="0" applyNumberFormat="1" applyFill="1" applyAlignment="1">
      <alignment/>
    </xf>
    <xf numFmtId="40" fontId="2" fillId="0" borderId="11" xfId="17" applyNumberFormat="1" applyFont="1" applyFill="1" applyBorder="1" applyAlignment="1">
      <alignment/>
    </xf>
    <xf numFmtId="4" fontId="2" fillId="0" borderId="11" xfId="15" applyNumberFormat="1" applyFont="1" applyFill="1" applyBorder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5" xfId="0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right"/>
    </xf>
    <xf numFmtId="0" fontId="39" fillId="0" borderId="5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center"/>
    </xf>
    <xf numFmtId="0" fontId="57" fillId="0" borderId="5" xfId="0" applyFont="1" applyFill="1" applyBorder="1" applyAlignment="1">
      <alignment vertical="center"/>
    </xf>
    <xf numFmtId="0" fontId="56" fillId="3" borderId="5" xfId="0" applyFont="1" applyFill="1" applyBorder="1" applyAlignment="1">
      <alignment vertical="center"/>
    </xf>
    <xf numFmtId="3" fontId="0" fillId="3" borderId="0" xfId="0" applyNumberFormat="1" applyFont="1" applyFill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0" fontId="58" fillId="0" borderId="5" xfId="0" applyFont="1" applyBorder="1" applyAlignment="1">
      <alignment horizontal="right"/>
    </xf>
    <xf numFmtId="3" fontId="58" fillId="0" borderId="5" xfId="0" applyNumberFormat="1" applyFont="1" applyBorder="1" applyAlignment="1">
      <alignment horizontal="right"/>
    </xf>
    <xf numFmtId="1" fontId="58" fillId="0" borderId="5" xfId="0" applyNumberFormat="1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3" fontId="48" fillId="0" borderId="0" xfId="0" applyNumberFormat="1" applyFont="1" applyBorder="1" applyAlignment="1">
      <alignment horizontal="center"/>
    </xf>
    <xf numFmtId="0" fontId="1" fillId="3" borderId="76" xfId="0" applyNumberFormat="1" applyFont="1" applyFill="1" applyBorder="1" applyAlignment="1">
      <alignment horizontal="center"/>
    </xf>
    <xf numFmtId="0" fontId="1" fillId="3" borderId="77" xfId="0" applyNumberFormat="1" applyFont="1" applyFill="1" applyBorder="1" applyAlignment="1">
      <alignment horizontal="center"/>
    </xf>
    <xf numFmtId="0" fontId="1" fillId="0" borderId="78" xfId="22" applyFont="1" applyBorder="1" applyAlignment="1">
      <alignment horizontal="center" vertical="center" wrapText="1"/>
      <protection/>
    </xf>
    <xf numFmtId="0" fontId="1" fillId="0" borderId="32" xfId="22" applyFont="1" applyBorder="1" applyAlignment="1">
      <alignment horizontal="center" vertical="center" wrapText="1"/>
      <protection/>
    </xf>
    <xf numFmtId="0" fontId="1" fillId="0" borderId="79" xfId="22" applyFont="1" applyBorder="1" applyAlignment="1">
      <alignment horizontal="center" vertical="center" wrapText="1"/>
      <protection/>
    </xf>
    <xf numFmtId="0" fontId="1" fillId="0" borderId="33" xfId="22" applyFont="1" applyBorder="1" applyAlignment="1">
      <alignment horizontal="center" vertical="center" wrapText="1"/>
      <protection/>
    </xf>
    <xf numFmtId="0" fontId="1" fillId="3" borderId="31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0" borderId="76" xfId="0" applyNumberFormat="1" applyFont="1" applyBorder="1" applyAlignment="1">
      <alignment horizontal="center"/>
    </xf>
    <xf numFmtId="0" fontId="1" fillId="0" borderId="7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171" fontId="30" fillId="3" borderId="0" xfId="15" applyFont="1" applyFill="1" applyAlignment="1">
      <alignment horizontal="center"/>
    </xf>
    <xf numFmtId="0" fontId="12" fillId="0" borderId="8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/>
    </xf>
    <xf numFmtId="0" fontId="45" fillId="0" borderId="81" xfId="0" applyFont="1" applyBorder="1" applyAlignment="1">
      <alignment horizontal="center"/>
    </xf>
    <xf numFmtId="0" fontId="45" fillId="0" borderId="82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omma_Bilanci Albavia" xfId="17"/>
    <cellStyle name="Comma_Profit &amp; Loss acc. Albavia" xfId="18"/>
    <cellStyle name="Currency" xfId="19"/>
    <cellStyle name="Currency [0]" xfId="20"/>
    <cellStyle name="Normal_Fletë1" xfId="21"/>
    <cellStyle name="Normal_Profit &amp; Loss acc. Albav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11" sqref="H11"/>
    </sheetView>
  </sheetViews>
  <sheetFormatPr defaultColWidth="9.140625" defaultRowHeight="12.75"/>
  <cols>
    <col min="1" max="4" width="9.140625" style="2" customWidth="1"/>
    <col min="5" max="5" width="9.140625" style="14" customWidth="1"/>
    <col min="6" max="7" width="9.140625" style="2" customWidth="1"/>
    <col min="8" max="8" width="11.57421875" style="2" bestFit="1" customWidth="1"/>
    <col min="9" max="10" width="10.8515625" style="2" customWidth="1"/>
  </cols>
  <sheetData>
    <row r="1" spans="1:11" ht="12.75">
      <c r="A1" s="349"/>
      <c r="B1" s="350"/>
      <c r="C1" s="350"/>
      <c r="D1" s="350"/>
      <c r="E1" s="351"/>
      <c r="F1" s="350"/>
      <c r="G1" s="350"/>
      <c r="H1" s="350"/>
      <c r="I1" s="350"/>
      <c r="J1" s="350"/>
      <c r="K1" s="352"/>
    </row>
    <row r="2" spans="1:11" ht="15.75">
      <c r="A2" s="353"/>
      <c r="B2" s="361" t="s">
        <v>292</v>
      </c>
      <c r="C2" s="361"/>
      <c r="D2" s="354"/>
      <c r="E2" s="355"/>
      <c r="F2" s="354"/>
      <c r="G2" s="354"/>
      <c r="H2" s="365" t="s">
        <v>299</v>
      </c>
      <c r="I2" s="362"/>
      <c r="J2" s="362"/>
      <c r="K2" s="363"/>
    </row>
    <row r="3" spans="1:11" ht="15.75">
      <c r="A3" s="353"/>
      <c r="B3" s="361" t="s">
        <v>293</v>
      </c>
      <c r="C3" s="361"/>
      <c r="D3" s="354"/>
      <c r="E3" s="355"/>
      <c r="F3" s="354"/>
      <c r="G3" s="354"/>
      <c r="H3" s="365" t="s">
        <v>300</v>
      </c>
      <c r="I3" s="362"/>
      <c r="J3" s="362"/>
      <c r="K3" s="363"/>
    </row>
    <row r="4" spans="1:11" ht="15.75">
      <c r="A4" s="353"/>
      <c r="B4" s="361" t="s">
        <v>294</v>
      </c>
      <c r="C4" s="361"/>
      <c r="D4" s="354"/>
      <c r="E4" s="355"/>
      <c r="F4" s="354"/>
      <c r="G4" s="354"/>
      <c r="H4" s="365" t="s">
        <v>301</v>
      </c>
      <c r="I4" s="362"/>
      <c r="J4" s="362"/>
      <c r="K4" s="363"/>
    </row>
    <row r="5" spans="1:11" ht="15.75">
      <c r="A5" s="353"/>
      <c r="B5" s="361"/>
      <c r="C5" s="361"/>
      <c r="D5" s="354"/>
      <c r="E5" s="355"/>
      <c r="F5" s="354"/>
      <c r="G5" s="354"/>
      <c r="H5" s="365"/>
      <c r="I5" s="362"/>
      <c r="J5" s="362"/>
      <c r="K5" s="363"/>
    </row>
    <row r="6" spans="1:11" ht="15.75">
      <c r="A6" s="353"/>
      <c r="B6" s="361" t="s">
        <v>295</v>
      </c>
      <c r="C6" s="361"/>
      <c r="D6" s="354"/>
      <c r="E6" s="355"/>
      <c r="F6" s="354"/>
      <c r="G6" s="354"/>
      <c r="H6" s="366">
        <v>34271</v>
      </c>
      <c r="I6" s="362"/>
      <c r="J6" s="362"/>
      <c r="K6" s="363"/>
    </row>
    <row r="7" spans="1:11" ht="15.75">
      <c r="A7" s="353"/>
      <c r="B7" s="361" t="s">
        <v>315</v>
      </c>
      <c r="C7" s="361"/>
      <c r="D7" s="354"/>
      <c r="E7" s="355"/>
      <c r="F7" s="354"/>
      <c r="G7" s="354"/>
      <c r="H7" s="365">
        <v>1201104</v>
      </c>
      <c r="I7" s="362"/>
      <c r="J7" s="362"/>
      <c r="K7" s="363"/>
    </row>
    <row r="8" spans="1:11" ht="15.75">
      <c r="A8" s="353"/>
      <c r="B8" s="361"/>
      <c r="C8" s="361"/>
      <c r="D8" s="354"/>
      <c r="E8" s="355"/>
      <c r="F8" s="354"/>
      <c r="G8" s="354"/>
      <c r="H8" s="365"/>
      <c r="I8" s="362"/>
      <c r="J8" s="362"/>
      <c r="K8" s="363"/>
    </row>
    <row r="9" spans="1:11" ht="15.75">
      <c r="A9" s="353"/>
      <c r="B9" s="361"/>
      <c r="C9" s="361"/>
      <c r="D9" s="354"/>
      <c r="E9" s="355"/>
      <c r="F9" s="354"/>
      <c r="G9" s="354"/>
      <c r="H9" s="365"/>
      <c r="I9" s="362"/>
      <c r="J9" s="362"/>
      <c r="K9" s="363"/>
    </row>
    <row r="10" spans="1:11" ht="15.75">
      <c r="A10" s="353"/>
      <c r="B10" s="361" t="s">
        <v>296</v>
      </c>
      <c r="C10" s="361"/>
      <c r="D10" s="354"/>
      <c r="E10" s="355"/>
      <c r="F10" s="354"/>
      <c r="G10" s="354"/>
      <c r="H10" s="365" t="s">
        <v>316</v>
      </c>
      <c r="I10" s="362"/>
      <c r="J10" s="362"/>
      <c r="K10" s="363"/>
    </row>
    <row r="11" spans="1:11" ht="15.75">
      <c r="A11" s="353"/>
      <c r="B11" s="354"/>
      <c r="C11" s="354"/>
      <c r="D11" s="354"/>
      <c r="E11" s="355"/>
      <c r="F11" s="354"/>
      <c r="G11" s="354"/>
      <c r="H11" s="365" t="s">
        <v>317</v>
      </c>
      <c r="I11" s="362"/>
      <c r="J11" s="362"/>
      <c r="K11" s="356"/>
    </row>
    <row r="12" spans="1:11" ht="12.75">
      <c r="A12" s="353"/>
      <c r="B12" s="354"/>
      <c r="C12" s="354"/>
      <c r="D12" s="354"/>
      <c r="E12" s="355"/>
      <c r="F12" s="354"/>
      <c r="G12" s="354"/>
      <c r="H12" s="354"/>
      <c r="I12" s="354"/>
      <c r="J12" s="354"/>
      <c r="K12" s="356"/>
    </row>
    <row r="13" spans="1:11" ht="12.75">
      <c r="A13" s="353"/>
      <c r="B13" s="354"/>
      <c r="C13" s="354"/>
      <c r="D13" s="354"/>
      <c r="E13" s="355"/>
      <c r="F13" s="354"/>
      <c r="G13" s="354"/>
      <c r="H13" s="354"/>
      <c r="I13" s="354"/>
      <c r="J13" s="354"/>
      <c r="K13" s="356"/>
    </row>
    <row r="14" spans="1:11" ht="12.75">
      <c r="A14" s="353"/>
      <c r="B14" s="354"/>
      <c r="C14" s="354"/>
      <c r="D14" s="354"/>
      <c r="E14" s="355"/>
      <c r="F14" s="354"/>
      <c r="G14" s="354"/>
      <c r="H14" s="354"/>
      <c r="I14" s="354"/>
      <c r="J14" s="354"/>
      <c r="K14" s="356"/>
    </row>
    <row r="15" spans="1:11" ht="12.75">
      <c r="A15" s="353"/>
      <c r="B15" s="354"/>
      <c r="C15" s="354"/>
      <c r="D15" s="354"/>
      <c r="E15" s="355"/>
      <c r="F15" s="354"/>
      <c r="G15" s="354"/>
      <c r="H15" s="354"/>
      <c r="I15" s="354"/>
      <c r="J15" s="354"/>
      <c r="K15" s="356"/>
    </row>
    <row r="16" spans="1:11" ht="12.75">
      <c r="A16" s="353"/>
      <c r="B16" s="354"/>
      <c r="C16" s="354"/>
      <c r="D16" s="354"/>
      <c r="E16" s="355"/>
      <c r="F16" s="354"/>
      <c r="G16" s="354"/>
      <c r="H16" s="354"/>
      <c r="I16" s="354"/>
      <c r="J16" s="354"/>
      <c r="K16" s="356"/>
    </row>
    <row r="17" spans="1:11" ht="12.75">
      <c r="A17" s="353"/>
      <c r="B17" s="354"/>
      <c r="C17" s="354"/>
      <c r="D17" s="354"/>
      <c r="E17" s="355"/>
      <c r="F17" s="354"/>
      <c r="G17" s="354"/>
      <c r="H17" s="354"/>
      <c r="I17" s="354"/>
      <c r="J17" s="354"/>
      <c r="K17" s="356"/>
    </row>
    <row r="18" spans="1:11" ht="22.5">
      <c r="A18" s="353"/>
      <c r="B18" s="354"/>
      <c r="C18" s="454" t="s">
        <v>353</v>
      </c>
      <c r="D18" s="454"/>
      <c r="E18" s="454"/>
      <c r="F18" s="454"/>
      <c r="G18" s="454"/>
      <c r="H18" s="454"/>
      <c r="I18" s="454"/>
      <c r="J18" s="454"/>
      <c r="K18" s="356"/>
    </row>
    <row r="19" spans="1:11" ht="12.75">
      <c r="A19" s="353"/>
      <c r="B19" s="354"/>
      <c r="C19" s="354"/>
      <c r="D19" s="354" t="s">
        <v>297</v>
      </c>
      <c r="E19" s="355"/>
      <c r="F19" s="354"/>
      <c r="G19" s="354"/>
      <c r="H19" s="354"/>
      <c r="I19" s="354"/>
      <c r="J19" s="354"/>
      <c r="K19" s="356"/>
    </row>
    <row r="20" spans="1:11" ht="12.75">
      <c r="A20" s="353"/>
      <c r="B20" s="354"/>
      <c r="C20" s="354"/>
      <c r="D20" s="354" t="s">
        <v>298</v>
      </c>
      <c r="E20" s="355"/>
      <c r="F20" s="354"/>
      <c r="G20" s="354"/>
      <c r="H20" s="354"/>
      <c r="I20" s="354"/>
      <c r="J20" s="354"/>
      <c r="K20" s="356"/>
    </row>
    <row r="21" spans="1:11" ht="12.75">
      <c r="A21" s="353"/>
      <c r="B21" s="354"/>
      <c r="C21" s="354"/>
      <c r="D21" s="354"/>
      <c r="E21" s="355"/>
      <c r="F21" s="354"/>
      <c r="G21" s="354"/>
      <c r="H21" s="354"/>
      <c r="I21" s="354"/>
      <c r="J21" s="354"/>
      <c r="K21" s="356"/>
    </row>
    <row r="22" spans="1:11" ht="12.75">
      <c r="A22" s="353"/>
      <c r="B22" s="354"/>
      <c r="C22" s="354"/>
      <c r="D22" s="354"/>
      <c r="E22" s="355"/>
      <c r="F22" s="354"/>
      <c r="G22" s="354"/>
      <c r="H22" s="354"/>
      <c r="I22" s="354"/>
      <c r="J22" s="354"/>
      <c r="K22" s="356"/>
    </row>
    <row r="23" spans="1:11" ht="12.75">
      <c r="A23" s="353"/>
      <c r="B23" s="354"/>
      <c r="C23" s="354"/>
      <c r="D23" s="354"/>
      <c r="E23" s="355"/>
      <c r="F23" s="354"/>
      <c r="G23" s="354"/>
      <c r="H23" s="354"/>
      <c r="I23" s="354"/>
      <c r="J23" s="354"/>
      <c r="K23" s="356"/>
    </row>
    <row r="24" spans="1:11" ht="25.5">
      <c r="A24" s="353"/>
      <c r="B24" s="354"/>
      <c r="C24" s="354"/>
      <c r="D24" s="354"/>
      <c r="E24" s="455" t="s">
        <v>120</v>
      </c>
      <c r="F24" s="455"/>
      <c r="G24" s="455"/>
      <c r="H24" s="455"/>
      <c r="I24" s="354"/>
      <c r="J24" s="354"/>
      <c r="K24" s="356"/>
    </row>
    <row r="25" spans="1:11" ht="12.75">
      <c r="A25" s="353"/>
      <c r="B25" s="354"/>
      <c r="C25" s="354"/>
      <c r="D25" s="354"/>
      <c r="E25" s="355"/>
      <c r="F25" s="354"/>
      <c r="G25" s="354"/>
      <c r="H25" s="354"/>
      <c r="I25" s="354"/>
      <c r="J25" s="354"/>
      <c r="K25" s="356"/>
    </row>
    <row r="26" spans="1:11" ht="12.75">
      <c r="A26" s="353"/>
      <c r="B26" s="354"/>
      <c r="C26" s="354"/>
      <c r="D26" s="354"/>
      <c r="E26" s="355"/>
      <c r="F26" s="354"/>
      <c r="G26" s="354"/>
      <c r="H26" s="354"/>
      <c r="I26" s="354"/>
      <c r="J26" s="354"/>
      <c r="K26" s="356"/>
    </row>
    <row r="27" spans="1:11" ht="12.75">
      <c r="A27" s="353"/>
      <c r="B27" s="354"/>
      <c r="C27" s="354"/>
      <c r="D27" s="354"/>
      <c r="E27" s="355"/>
      <c r="F27" s="354"/>
      <c r="G27" s="354"/>
      <c r="H27" s="354"/>
      <c r="I27" s="354"/>
      <c r="J27" s="354"/>
      <c r="K27" s="356"/>
    </row>
    <row r="28" spans="1:11" ht="12.75">
      <c r="A28" s="353"/>
      <c r="B28" s="354"/>
      <c r="C28" s="354"/>
      <c r="D28" s="354"/>
      <c r="E28" s="355"/>
      <c r="F28" s="354"/>
      <c r="G28" s="354"/>
      <c r="H28" s="354"/>
      <c r="I28" s="354"/>
      <c r="J28" s="354"/>
      <c r="K28" s="356"/>
    </row>
    <row r="29" spans="1:11" ht="12.75">
      <c r="A29" s="353"/>
      <c r="B29" s="354"/>
      <c r="C29" s="354"/>
      <c r="D29" s="354"/>
      <c r="E29" s="355"/>
      <c r="F29" s="354"/>
      <c r="G29" s="354"/>
      <c r="H29" s="354"/>
      <c r="I29" s="354"/>
      <c r="J29" s="354"/>
      <c r="K29" s="356"/>
    </row>
    <row r="30" spans="1:11" ht="12.75">
      <c r="A30" s="353"/>
      <c r="B30" s="354"/>
      <c r="C30" s="354"/>
      <c r="D30" s="354"/>
      <c r="E30" s="355"/>
      <c r="F30" s="354"/>
      <c r="G30" s="354"/>
      <c r="H30" s="354"/>
      <c r="I30" s="354"/>
      <c r="J30" s="354"/>
      <c r="K30" s="356"/>
    </row>
    <row r="31" spans="1:11" ht="12.75">
      <c r="A31" s="353"/>
      <c r="B31" s="354"/>
      <c r="C31" s="354"/>
      <c r="D31" s="354"/>
      <c r="E31" s="355"/>
      <c r="F31" s="354"/>
      <c r="G31" s="354"/>
      <c r="H31" s="354"/>
      <c r="I31" s="354"/>
      <c r="J31" s="354"/>
      <c r="K31" s="356"/>
    </row>
    <row r="32" spans="1:11" ht="12.75">
      <c r="A32" s="353"/>
      <c r="B32" s="354"/>
      <c r="C32" s="354"/>
      <c r="D32" s="354"/>
      <c r="E32" s="355"/>
      <c r="F32" s="354"/>
      <c r="G32" s="354"/>
      <c r="H32" s="354"/>
      <c r="I32" s="354"/>
      <c r="J32" s="354"/>
      <c r="K32" s="356"/>
    </row>
    <row r="33" spans="1:11" ht="12.75">
      <c r="A33" s="353"/>
      <c r="B33" s="354"/>
      <c r="C33" s="354"/>
      <c r="D33" s="354"/>
      <c r="E33" s="355"/>
      <c r="F33" s="354"/>
      <c r="G33" s="354"/>
      <c r="H33" s="354"/>
      <c r="I33" s="354"/>
      <c r="J33" s="354"/>
      <c r="K33" s="356"/>
    </row>
    <row r="34" spans="1:11" ht="12.75">
      <c r="A34" s="353"/>
      <c r="B34" s="354"/>
      <c r="C34" s="354"/>
      <c r="D34" s="354"/>
      <c r="E34" s="355"/>
      <c r="F34" s="354"/>
      <c r="G34" s="354"/>
      <c r="H34" s="354"/>
      <c r="I34" s="354"/>
      <c r="J34" s="354"/>
      <c r="K34" s="356"/>
    </row>
    <row r="35" spans="1:11" ht="12.75">
      <c r="A35" s="353"/>
      <c r="B35" s="354"/>
      <c r="C35" s="354"/>
      <c r="D35" s="354"/>
      <c r="E35" s="355"/>
      <c r="F35" s="354"/>
      <c r="G35" s="354"/>
      <c r="H35" s="354"/>
      <c r="I35" s="354"/>
      <c r="J35" s="354"/>
      <c r="K35" s="356"/>
    </row>
    <row r="36" spans="1:11" ht="12.75">
      <c r="A36" s="353"/>
      <c r="B36" s="354"/>
      <c r="C36" s="354"/>
      <c r="D36" s="354"/>
      <c r="E36" s="355"/>
      <c r="F36" s="354"/>
      <c r="G36" s="354"/>
      <c r="H36" s="354"/>
      <c r="I36" s="354"/>
      <c r="J36" s="354"/>
      <c r="K36" s="356"/>
    </row>
    <row r="37" spans="1:11" ht="12.75">
      <c r="A37" s="353"/>
      <c r="B37" s="354"/>
      <c r="C37" s="354"/>
      <c r="D37" s="354"/>
      <c r="E37" s="355"/>
      <c r="F37" s="354"/>
      <c r="G37" s="354"/>
      <c r="H37" s="354"/>
      <c r="I37" s="354"/>
      <c r="J37" s="354"/>
      <c r="K37" s="356"/>
    </row>
    <row r="38" spans="1:11" ht="12.75">
      <c r="A38" s="353"/>
      <c r="B38" s="354"/>
      <c r="C38" s="354"/>
      <c r="D38" s="354"/>
      <c r="E38" s="355"/>
      <c r="F38" s="354"/>
      <c r="G38" s="354"/>
      <c r="H38" s="354"/>
      <c r="I38" s="354"/>
      <c r="J38" s="354"/>
      <c r="K38" s="356"/>
    </row>
    <row r="39" spans="1:11" ht="12.75">
      <c r="A39" s="353"/>
      <c r="B39" s="354"/>
      <c r="C39" s="354"/>
      <c r="D39" s="354"/>
      <c r="E39" s="355"/>
      <c r="F39" s="354"/>
      <c r="G39" s="354"/>
      <c r="H39" s="354"/>
      <c r="I39" s="354"/>
      <c r="J39" s="354"/>
      <c r="K39" s="356"/>
    </row>
    <row r="40" spans="1:11" ht="12.75">
      <c r="A40" s="353"/>
      <c r="B40" s="354"/>
      <c r="C40" s="354"/>
      <c r="D40" s="354"/>
      <c r="E40" s="355"/>
      <c r="F40" s="354"/>
      <c r="G40" s="354"/>
      <c r="H40" s="354"/>
      <c r="I40" s="354"/>
      <c r="J40" s="354"/>
      <c r="K40" s="356"/>
    </row>
    <row r="41" spans="1:11" ht="12.75">
      <c r="A41" s="353"/>
      <c r="B41" s="354"/>
      <c r="C41" s="354"/>
      <c r="D41" s="354"/>
      <c r="E41" s="355"/>
      <c r="F41" s="354"/>
      <c r="G41" s="354"/>
      <c r="H41" s="354"/>
      <c r="I41" s="354"/>
      <c r="J41" s="354"/>
      <c r="K41" s="356"/>
    </row>
    <row r="42" spans="1:11" ht="12.75">
      <c r="A42" s="353"/>
      <c r="B42" s="354"/>
      <c r="C42" s="354" t="s">
        <v>302</v>
      </c>
      <c r="D42" s="354"/>
      <c r="E42" s="355"/>
      <c r="F42" s="354"/>
      <c r="G42" s="354"/>
      <c r="H42" s="354"/>
      <c r="I42" s="354"/>
      <c r="J42" s="362" t="s">
        <v>303</v>
      </c>
      <c r="K42" s="356"/>
    </row>
    <row r="43" spans="1:11" ht="12.75">
      <c r="A43" s="353"/>
      <c r="B43" s="354"/>
      <c r="C43" s="354" t="s">
        <v>304</v>
      </c>
      <c r="D43" s="354"/>
      <c r="E43" s="355"/>
      <c r="F43" s="354"/>
      <c r="G43" s="354"/>
      <c r="H43" s="354"/>
      <c r="I43" s="354"/>
      <c r="J43" s="362" t="s">
        <v>305</v>
      </c>
      <c r="K43" s="356"/>
    </row>
    <row r="44" spans="1:11" ht="12.75">
      <c r="A44" s="353"/>
      <c r="B44" s="354"/>
      <c r="C44" s="354" t="s">
        <v>306</v>
      </c>
      <c r="D44" s="354"/>
      <c r="E44" s="355"/>
      <c r="F44" s="354"/>
      <c r="G44" s="354"/>
      <c r="H44" s="354"/>
      <c r="I44" s="354"/>
      <c r="J44" s="362" t="s">
        <v>307</v>
      </c>
      <c r="K44" s="356"/>
    </row>
    <row r="45" spans="1:11" ht="12.75">
      <c r="A45" s="353"/>
      <c r="B45" s="354"/>
      <c r="C45" s="354" t="s">
        <v>308</v>
      </c>
      <c r="D45" s="354"/>
      <c r="E45" s="355"/>
      <c r="F45" s="354"/>
      <c r="G45" s="354"/>
      <c r="H45" s="354"/>
      <c r="I45" s="354"/>
      <c r="J45" s="354"/>
      <c r="K45" s="356"/>
    </row>
    <row r="46" spans="1:11" ht="12.75">
      <c r="A46" s="353"/>
      <c r="B46" s="354"/>
      <c r="C46" s="354"/>
      <c r="D46" s="354"/>
      <c r="E46" s="355"/>
      <c r="F46" s="354"/>
      <c r="G46" s="354"/>
      <c r="H46" s="354"/>
      <c r="I46" s="354"/>
      <c r="J46" s="354"/>
      <c r="K46" s="356"/>
    </row>
    <row r="47" spans="1:11" ht="12.75">
      <c r="A47" s="353"/>
      <c r="B47" s="354"/>
      <c r="C47" s="354" t="s">
        <v>309</v>
      </c>
      <c r="D47" s="354"/>
      <c r="E47" s="355"/>
      <c r="F47" s="354"/>
      <c r="G47" s="354"/>
      <c r="H47" s="354"/>
      <c r="I47" s="354" t="s">
        <v>310</v>
      </c>
      <c r="J47" s="362" t="s">
        <v>289</v>
      </c>
      <c r="K47" s="356"/>
    </row>
    <row r="48" spans="1:11" ht="12.75">
      <c r="A48" s="353"/>
      <c r="B48" s="354"/>
      <c r="C48" s="354"/>
      <c r="D48" s="354"/>
      <c r="E48" s="355"/>
      <c r="F48" s="354"/>
      <c r="G48" s="354"/>
      <c r="H48" s="354"/>
      <c r="I48" s="354" t="s">
        <v>311</v>
      </c>
      <c r="J48" s="362" t="s">
        <v>290</v>
      </c>
      <c r="K48" s="356"/>
    </row>
    <row r="49" spans="1:11" ht="12.75">
      <c r="A49" s="353"/>
      <c r="B49" s="354"/>
      <c r="C49" s="354"/>
      <c r="D49" s="354"/>
      <c r="E49" s="355"/>
      <c r="F49" s="354"/>
      <c r="G49" s="354"/>
      <c r="H49" s="354"/>
      <c r="I49" s="354"/>
      <c r="J49" s="354"/>
      <c r="K49" s="356"/>
    </row>
    <row r="50" spans="1:11" ht="12.75">
      <c r="A50" s="353"/>
      <c r="B50" s="354"/>
      <c r="C50" s="354" t="s">
        <v>312</v>
      </c>
      <c r="D50" s="354"/>
      <c r="E50" s="355"/>
      <c r="F50" s="354"/>
      <c r="G50" s="354"/>
      <c r="H50" s="354"/>
      <c r="I50" s="354"/>
      <c r="J50" s="362"/>
      <c r="K50" s="356"/>
    </row>
    <row r="51" spans="1:11" ht="12.75">
      <c r="A51" s="353"/>
      <c r="B51" s="354"/>
      <c r="C51" s="354"/>
      <c r="D51" s="354"/>
      <c r="E51" s="355"/>
      <c r="F51" s="354"/>
      <c r="G51" s="354"/>
      <c r="H51" s="354"/>
      <c r="I51" s="354"/>
      <c r="J51" s="354"/>
      <c r="K51" s="356"/>
    </row>
    <row r="52" spans="1:11" ht="12.75">
      <c r="A52" s="353"/>
      <c r="B52" s="354"/>
      <c r="C52" s="354" t="s">
        <v>313</v>
      </c>
      <c r="D52" s="354"/>
      <c r="E52" s="355"/>
      <c r="F52" s="354"/>
      <c r="G52" s="354"/>
      <c r="H52" s="354"/>
      <c r="I52" s="364" t="s">
        <v>314</v>
      </c>
      <c r="J52" s="362" t="s">
        <v>701</v>
      </c>
      <c r="K52" s="356"/>
    </row>
    <row r="53" spans="1:11" ht="12.75">
      <c r="A53" s="357"/>
      <c r="B53" s="358"/>
      <c r="C53" s="358"/>
      <c r="D53" s="358"/>
      <c r="E53" s="359"/>
      <c r="F53" s="358"/>
      <c r="G53" s="358"/>
      <c r="H53" s="358"/>
      <c r="I53" s="358"/>
      <c r="J53" s="358"/>
      <c r="K53" s="360"/>
    </row>
  </sheetData>
  <sheetProtection password="CA0B" sheet="1" objects="1" scenarios="1" selectLockedCells="1" selectUnlockedCells="1"/>
  <mergeCells count="2">
    <mergeCell ref="C18:J18"/>
    <mergeCell ref="E24:H24"/>
  </mergeCells>
  <printOptions gridLines="1" horizontalCentered="1"/>
  <pageMargins left="0.3" right="0.1" top="0.5" bottom="0.5" header="0.5" footer="0.5"/>
  <pageSetup draft="1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B9" sqref="B9"/>
    </sheetView>
  </sheetViews>
  <sheetFormatPr defaultColWidth="9.140625" defaultRowHeight="12.75"/>
  <cols>
    <col min="1" max="1" width="16.8515625" style="0" customWidth="1"/>
    <col min="2" max="2" width="69.421875" style="0" bestFit="1" customWidth="1"/>
    <col min="3" max="3" width="10.57421875" style="0" bestFit="1" customWidth="1"/>
    <col min="4" max="4" width="21.8515625" style="118" bestFit="1" customWidth="1"/>
    <col min="5" max="5" width="22.28125" style="118" bestFit="1" customWidth="1"/>
    <col min="6" max="6" width="17.140625" style="27" bestFit="1" customWidth="1"/>
    <col min="7" max="7" width="18.28125" style="27" bestFit="1" customWidth="1"/>
    <col min="8" max="8" width="18.140625" style="27" bestFit="1" customWidth="1"/>
    <col min="9" max="9" width="18.140625" style="0" bestFit="1" customWidth="1"/>
  </cols>
  <sheetData>
    <row r="1" spans="1:5" ht="14.25" thickBot="1" thickTop="1">
      <c r="A1" s="458" t="s">
        <v>66</v>
      </c>
      <c r="B1" s="460" t="s">
        <v>67</v>
      </c>
      <c r="C1" s="160" t="s">
        <v>68</v>
      </c>
      <c r="D1" s="462" t="s">
        <v>291</v>
      </c>
      <c r="E1" s="456" t="s">
        <v>155</v>
      </c>
    </row>
    <row r="2" spans="1:5" ht="13.5" thickBot="1">
      <c r="A2" s="459"/>
      <c r="B2" s="461"/>
      <c r="C2" s="161" t="s">
        <v>69</v>
      </c>
      <c r="D2" s="463"/>
      <c r="E2" s="457"/>
    </row>
    <row r="3" spans="1:7" ht="13.5" thickBot="1">
      <c r="A3" s="162">
        <v>1</v>
      </c>
      <c r="B3" s="163" t="s">
        <v>70</v>
      </c>
      <c r="C3" s="163"/>
      <c r="D3" s="164">
        <f>D4+D5</f>
        <v>5670538236</v>
      </c>
      <c r="E3" s="165">
        <f>E4+E5</f>
        <v>5318276755</v>
      </c>
      <c r="G3" s="265"/>
    </row>
    <row r="4" spans="1:5" ht="12.75">
      <c r="A4" s="166"/>
      <c r="B4" s="167" t="s">
        <v>71</v>
      </c>
      <c r="C4" s="168">
        <v>701</v>
      </c>
      <c r="D4" s="169">
        <f>16324315+1035620481+532540750</f>
        <v>1584485546</v>
      </c>
      <c r="E4" s="169">
        <v>1552676496</v>
      </c>
    </row>
    <row r="5" spans="1:5" ht="13.5" thickBot="1">
      <c r="A5" s="170"/>
      <c r="B5" s="171" t="s">
        <v>72</v>
      </c>
      <c r="C5" s="172">
        <v>705</v>
      </c>
      <c r="D5" s="173">
        <f>1618065+1671654420+2945320955-532540750</f>
        <v>4086052690</v>
      </c>
      <c r="E5" s="173">
        <v>3765600259</v>
      </c>
    </row>
    <row r="6" spans="1:5" ht="13.5" thickBot="1">
      <c r="A6" s="174">
        <v>2</v>
      </c>
      <c r="B6" s="175" t="s">
        <v>73</v>
      </c>
      <c r="C6" s="176"/>
      <c r="D6" s="177">
        <f>D7+D8+D9+D10+D11+D12+D13+D14+D15+D16</f>
        <v>84423396</v>
      </c>
      <c r="E6" s="178">
        <f>E7+E8+E9+E10+E11+E12+E13+E14+E15+E16</f>
        <v>45354323</v>
      </c>
    </row>
    <row r="7" spans="1:5" ht="12.75">
      <c r="A7" s="179"/>
      <c r="B7" s="167" t="s">
        <v>74</v>
      </c>
      <c r="C7" s="168">
        <v>702</v>
      </c>
      <c r="D7" s="180"/>
      <c r="E7" s="180"/>
    </row>
    <row r="8" spans="1:5" ht="12.75">
      <c r="A8" s="181"/>
      <c r="B8" s="182" t="s">
        <v>75</v>
      </c>
      <c r="C8" s="183">
        <v>703</v>
      </c>
      <c r="D8" s="184"/>
      <c r="E8" s="184"/>
    </row>
    <row r="9" spans="1:5" ht="12.75">
      <c r="A9" s="181"/>
      <c r="B9" s="182" t="s">
        <v>78</v>
      </c>
      <c r="C9" s="183">
        <v>704</v>
      </c>
      <c r="D9" s="184"/>
      <c r="E9" s="184"/>
    </row>
    <row r="10" spans="1:9" ht="12.75">
      <c r="A10" s="181"/>
      <c r="B10" s="185" t="s">
        <v>79</v>
      </c>
      <c r="C10" s="183">
        <v>707</v>
      </c>
      <c r="D10" s="184"/>
      <c r="E10" s="184"/>
      <c r="I10" s="266"/>
    </row>
    <row r="11" spans="1:5" ht="12.75">
      <c r="A11" s="181"/>
      <c r="B11" s="182" t="s">
        <v>80</v>
      </c>
      <c r="C11" s="183">
        <v>708</v>
      </c>
      <c r="D11" s="184"/>
      <c r="E11" s="184"/>
    </row>
    <row r="12" spans="1:5" ht="12.75">
      <c r="A12" s="181"/>
      <c r="B12" s="182" t="s">
        <v>81</v>
      </c>
      <c r="C12" s="183">
        <v>7081</v>
      </c>
      <c r="D12" s="184">
        <v>20081797</v>
      </c>
      <c r="E12" s="184">
        <v>12984823</v>
      </c>
    </row>
    <row r="13" spans="1:5" ht="12.75">
      <c r="A13" s="181"/>
      <c r="B13" s="182" t="s">
        <v>82</v>
      </c>
      <c r="C13" s="183">
        <v>7082</v>
      </c>
      <c r="D13" s="184"/>
      <c r="E13" s="184"/>
    </row>
    <row r="14" spans="1:5" ht="12.75">
      <c r="A14" s="181"/>
      <c r="B14" s="182" t="s">
        <v>83</v>
      </c>
      <c r="C14" s="183">
        <v>7083</v>
      </c>
      <c r="D14" s="184">
        <f>36456877+331500</f>
        <v>36788377</v>
      </c>
      <c r="E14" s="184">
        <v>32369500</v>
      </c>
    </row>
    <row r="15" spans="1:5" ht="12.75">
      <c r="A15" s="181"/>
      <c r="B15" s="182" t="s">
        <v>84</v>
      </c>
      <c r="C15" s="183">
        <v>7084</v>
      </c>
      <c r="D15" s="184"/>
      <c r="E15" s="184"/>
    </row>
    <row r="16" spans="1:5" ht="13.5" thickBot="1">
      <c r="A16" s="186"/>
      <c r="B16" s="171" t="s">
        <v>191</v>
      </c>
      <c r="C16" s="172">
        <v>7088</v>
      </c>
      <c r="D16" s="184">
        <f>192900+95399+27264923</f>
        <v>27553222</v>
      </c>
      <c r="E16" s="184"/>
    </row>
    <row r="17" spans="1:5" ht="13.5" thickBot="1">
      <c r="A17" s="174">
        <v>3</v>
      </c>
      <c r="B17" s="175" t="s">
        <v>85</v>
      </c>
      <c r="C17" s="176">
        <v>714</v>
      </c>
      <c r="D17" s="177">
        <v>11135077</v>
      </c>
      <c r="E17" s="177">
        <v>-28127480</v>
      </c>
    </row>
    <row r="18" spans="1:5" ht="13.5" thickBot="1">
      <c r="A18" s="174">
        <v>4</v>
      </c>
      <c r="B18" s="175" t="s">
        <v>89</v>
      </c>
      <c r="C18" s="176">
        <v>721</v>
      </c>
      <c r="D18" s="177">
        <v>0</v>
      </c>
      <c r="E18" s="178">
        <v>0</v>
      </c>
    </row>
    <row r="19" spans="1:5" ht="13.5" thickBot="1">
      <c r="A19" s="174">
        <v>5</v>
      </c>
      <c r="B19" s="175" t="s">
        <v>90</v>
      </c>
      <c r="C19" s="176">
        <v>73</v>
      </c>
      <c r="D19" s="177">
        <f>D20+D21</f>
        <v>0</v>
      </c>
      <c r="E19" s="178">
        <f>E20+E21</f>
        <v>0</v>
      </c>
    </row>
    <row r="20" spans="1:5" ht="12.75">
      <c r="A20" s="187"/>
      <c r="B20" s="188" t="s">
        <v>91</v>
      </c>
      <c r="C20" s="189">
        <v>731</v>
      </c>
      <c r="D20" s="190"/>
      <c r="E20" s="191"/>
    </row>
    <row r="21" spans="1:5" ht="13.5" thickBot="1">
      <c r="A21" s="186"/>
      <c r="B21" s="171" t="s">
        <v>92</v>
      </c>
      <c r="C21" s="172">
        <v>732</v>
      </c>
      <c r="D21" s="192"/>
      <c r="E21" s="193"/>
    </row>
    <row r="22" spans="1:5" ht="13.5" thickBot="1">
      <c r="A22" s="174">
        <v>6</v>
      </c>
      <c r="B22" s="175" t="s">
        <v>93</v>
      </c>
      <c r="C22" s="176">
        <v>75</v>
      </c>
      <c r="D22" s="177">
        <f>D23+D24+D25+D26+D27+D28</f>
        <v>6091995</v>
      </c>
      <c r="E22" s="178">
        <f>E23+E24+E25+E26+E27+E28</f>
        <v>69602396</v>
      </c>
    </row>
    <row r="23" spans="1:5" ht="12.75">
      <c r="A23" s="187"/>
      <c r="B23" s="188" t="s">
        <v>76</v>
      </c>
      <c r="C23" s="189">
        <v>751</v>
      </c>
      <c r="D23" s="190"/>
      <c r="E23" s="190">
        <v>57620380</v>
      </c>
    </row>
    <row r="24" spans="1:5" ht="13.5" thickBot="1">
      <c r="A24" s="186"/>
      <c r="B24" s="171" t="s">
        <v>94</v>
      </c>
      <c r="C24" s="172">
        <v>752</v>
      </c>
      <c r="D24" s="194">
        <f>4438662+1653333</f>
        <v>6091995</v>
      </c>
      <c r="E24" s="194">
        <v>8840000</v>
      </c>
    </row>
    <row r="25" spans="1:5" ht="20.25" thickBot="1">
      <c r="A25" s="195" t="s">
        <v>473</v>
      </c>
      <c r="B25" s="171" t="s">
        <v>95</v>
      </c>
      <c r="C25" s="172">
        <v>754</v>
      </c>
      <c r="D25" s="194"/>
      <c r="E25" s="194"/>
    </row>
    <row r="26" spans="1:5" ht="12.75">
      <c r="A26" s="186"/>
      <c r="B26" s="171" t="s">
        <v>96</v>
      </c>
      <c r="C26" s="172">
        <v>756</v>
      </c>
      <c r="D26" s="192"/>
      <c r="E26" s="192"/>
    </row>
    <row r="27" spans="1:5" ht="12.75">
      <c r="A27" s="186"/>
      <c r="B27" s="171" t="s">
        <v>97</v>
      </c>
      <c r="C27" s="172">
        <v>757</v>
      </c>
      <c r="D27" s="194"/>
      <c r="E27" s="194"/>
    </row>
    <row r="28" spans="1:5" ht="13.5" thickBot="1">
      <c r="A28" s="186"/>
      <c r="B28" s="171" t="s">
        <v>98</v>
      </c>
      <c r="C28" s="172">
        <v>758</v>
      </c>
      <c r="D28" s="194"/>
      <c r="E28" s="194">
        <v>3142016</v>
      </c>
    </row>
    <row r="29" spans="1:5" ht="13.5" thickBot="1">
      <c r="A29" s="174">
        <v>7</v>
      </c>
      <c r="B29" s="175" t="s">
        <v>99</v>
      </c>
      <c r="C29" s="176">
        <v>60</v>
      </c>
      <c r="D29" s="177">
        <f>+D3+D6+D17+D19+D22</f>
        <v>5772188704</v>
      </c>
      <c r="E29" s="178">
        <f>+E3+E6+E17+E19+E22</f>
        <v>5405105994</v>
      </c>
    </row>
    <row r="30" spans="1:5" ht="13.5" thickBot="1">
      <c r="A30" s="174">
        <v>8</v>
      </c>
      <c r="B30" s="175" t="s">
        <v>100</v>
      </c>
      <c r="C30" s="176">
        <v>60</v>
      </c>
      <c r="D30" s="177">
        <f>SUM(D31:D41)</f>
        <v>4571985594</v>
      </c>
      <c r="E30" s="178">
        <f>SUM(E31:E41)</f>
        <v>4249822729</v>
      </c>
    </row>
    <row r="31" spans="1:5" ht="12.75">
      <c r="A31" s="179"/>
      <c r="B31" s="167" t="s">
        <v>101</v>
      </c>
      <c r="C31" s="168">
        <v>601</v>
      </c>
      <c r="D31" s="196">
        <v>1091285847</v>
      </c>
      <c r="E31" s="196">
        <v>797871998</v>
      </c>
    </row>
    <row r="32" spans="1:5" ht="12.75">
      <c r="A32" s="181"/>
      <c r="B32" s="182" t="s">
        <v>102</v>
      </c>
      <c r="C32" s="183">
        <v>6024</v>
      </c>
      <c r="D32" s="196">
        <v>158308014</v>
      </c>
      <c r="E32" s="196">
        <v>150426997</v>
      </c>
    </row>
    <row r="33" spans="1:7" ht="12.75">
      <c r="A33" s="197"/>
      <c r="B33" s="182" t="s">
        <v>103</v>
      </c>
      <c r="C33" s="183">
        <v>603</v>
      </c>
      <c r="D33" s="196"/>
      <c r="E33" s="196"/>
      <c r="G33" s="265"/>
    </row>
    <row r="34" spans="1:7" ht="12.75">
      <c r="A34" s="198"/>
      <c r="B34" s="167" t="s">
        <v>104</v>
      </c>
      <c r="C34" s="183">
        <v>6031</v>
      </c>
      <c r="D34" s="196">
        <f>-173303103+167</f>
        <v>-173302936</v>
      </c>
      <c r="E34" s="196">
        <v>-12620191</v>
      </c>
      <c r="G34" s="265"/>
    </row>
    <row r="35" spans="1:5" ht="12.75">
      <c r="A35" s="198"/>
      <c r="B35" s="167" t="s">
        <v>105</v>
      </c>
      <c r="C35" s="183">
        <v>60324</v>
      </c>
      <c r="D35" s="196">
        <v>1031470</v>
      </c>
      <c r="E35" s="196">
        <v>9889580</v>
      </c>
    </row>
    <row r="36" spans="1:5" ht="12.75">
      <c r="A36" s="198"/>
      <c r="B36" s="167" t="s">
        <v>106</v>
      </c>
      <c r="C36" s="183">
        <v>6035</v>
      </c>
      <c r="D36" s="196">
        <v>-440855600</v>
      </c>
      <c r="E36" s="196">
        <v>-25002097</v>
      </c>
    </row>
    <row r="37" spans="1:5" ht="12.75">
      <c r="A37" s="198"/>
      <c r="B37" s="167" t="s">
        <v>107</v>
      </c>
      <c r="C37" s="183">
        <v>604</v>
      </c>
      <c r="D37" s="196"/>
      <c r="E37" s="196"/>
    </row>
    <row r="38" spans="1:6" ht="12.75">
      <c r="A38" s="198"/>
      <c r="B38" s="167" t="s">
        <v>108</v>
      </c>
      <c r="C38" s="183">
        <v>605</v>
      </c>
      <c r="D38" s="196">
        <v>3935518799</v>
      </c>
      <c r="E38" s="196">
        <v>3329256442</v>
      </c>
      <c r="F38" s="196"/>
    </row>
    <row r="39" spans="1:5" ht="12.75">
      <c r="A39" s="198"/>
      <c r="B39" s="167" t="s">
        <v>109</v>
      </c>
      <c r="C39" s="183">
        <v>606</v>
      </c>
      <c r="D39" s="196"/>
      <c r="E39" s="196"/>
    </row>
    <row r="40" spans="1:5" ht="12.75">
      <c r="A40" s="198"/>
      <c r="B40" s="167" t="s">
        <v>110</v>
      </c>
      <c r="C40" s="183">
        <v>607</v>
      </c>
      <c r="D40" s="196"/>
      <c r="E40" s="196"/>
    </row>
    <row r="41" spans="1:5" ht="13.5" thickBot="1">
      <c r="A41" s="199"/>
      <c r="B41" s="188" t="s">
        <v>111</v>
      </c>
      <c r="C41" s="172">
        <v>608</v>
      </c>
      <c r="D41" s="200"/>
      <c r="E41" s="200"/>
    </row>
    <row r="42" spans="1:5" ht="13.5" thickBot="1">
      <c r="A42" s="174">
        <v>9</v>
      </c>
      <c r="B42" s="175" t="s">
        <v>112</v>
      </c>
      <c r="C42" s="176">
        <v>64</v>
      </c>
      <c r="D42" s="201">
        <f>SUM(D43:D46)</f>
        <v>156899073</v>
      </c>
      <c r="E42" s="202">
        <f>SUM(E43:E46)</f>
        <v>149252634</v>
      </c>
    </row>
    <row r="43" spans="1:5" ht="12.75">
      <c r="A43" s="179"/>
      <c r="B43" s="167" t="s">
        <v>113</v>
      </c>
      <c r="C43" s="168">
        <v>641</v>
      </c>
      <c r="D43" s="196">
        <v>136378336</v>
      </c>
      <c r="E43" s="196">
        <v>128249123</v>
      </c>
    </row>
    <row r="44" spans="1:5" ht="12.75">
      <c r="A44" s="203"/>
      <c r="B44" s="182" t="s">
        <v>114</v>
      </c>
      <c r="C44" s="183">
        <v>644</v>
      </c>
      <c r="D44" s="204">
        <v>20520737</v>
      </c>
      <c r="E44" s="204">
        <v>21003511</v>
      </c>
    </row>
    <row r="45" spans="1:5" ht="12.75">
      <c r="A45" s="203"/>
      <c r="B45" s="182" t="s">
        <v>115</v>
      </c>
      <c r="C45" s="183">
        <v>645</v>
      </c>
      <c r="D45" s="205"/>
      <c r="E45" s="205"/>
    </row>
    <row r="46" spans="1:5" ht="13.5" thickBot="1">
      <c r="A46" s="186"/>
      <c r="B46" s="171" t="s">
        <v>116</v>
      </c>
      <c r="C46" s="172"/>
      <c r="D46" s="194"/>
      <c r="E46" s="194"/>
    </row>
    <row r="47" spans="1:5" ht="13.5" thickBot="1">
      <c r="A47" s="174">
        <v>10</v>
      </c>
      <c r="B47" s="175" t="s">
        <v>117</v>
      </c>
      <c r="C47" s="176">
        <v>68</v>
      </c>
      <c r="D47" s="201">
        <f>SUM(D48:D58)</f>
        <v>154223042</v>
      </c>
      <c r="E47" s="202">
        <f>SUM(E48:E58)</f>
        <v>144809854</v>
      </c>
    </row>
    <row r="48" spans="1:5" ht="12.75">
      <c r="A48" s="206"/>
      <c r="B48" s="207" t="s">
        <v>118</v>
      </c>
      <c r="C48" s="208">
        <v>681</v>
      </c>
      <c r="D48" s="209"/>
      <c r="E48" s="209"/>
    </row>
    <row r="49" spans="1:5" ht="12.75">
      <c r="A49" s="181"/>
      <c r="B49" s="211" t="s">
        <v>119</v>
      </c>
      <c r="C49" s="183">
        <v>6811</v>
      </c>
      <c r="D49" s="212">
        <v>154223042</v>
      </c>
      <c r="E49" s="212">
        <v>144809854</v>
      </c>
    </row>
    <row r="50" spans="1:5" ht="12.75">
      <c r="A50" s="203"/>
      <c r="B50" s="211" t="s">
        <v>122</v>
      </c>
      <c r="C50" s="183">
        <v>6812</v>
      </c>
      <c r="D50" s="212"/>
      <c r="E50" s="212"/>
    </row>
    <row r="51" spans="1:5" ht="12.75">
      <c r="A51" s="181"/>
      <c r="B51" s="211" t="s">
        <v>123</v>
      </c>
      <c r="C51" s="183">
        <v>6813</v>
      </c>
      <c r="D51" s="212"/>
      <c r="E51" s="212"/>
    </row>
    <row r="52" spans="1:5" ht="12.75">
      <c r="A52" s="213"/>
      <c r="B52" s="211" t="s">
        <v>124</v>
      </c>
      <c r="C52" s="183">
        <v>6815</v>
      </c>
      <c r="D52" s="212"/>
      <c r="E52" s="212"/>
    </row>
    <row r="53" spans="1:5" ht="12.75">
      <c r="A53" s="181"/>
      <c r="B53" s="211" t="s">
        <v>125</v>
      </c>
      <c r="C53" s="183">
        <v>6816</v>
      </c>
      <c r="D53" s="212"/>
      <c r="E53" s="212"/>
    </row>
    <row r="54" spans="1:5" ht="12.75">
      <c r="A54" s="186"/>
      <c r="B54" s="211" t="s">
        <v>126</v>
      </c>
      <c r="C54" s="183">
        <v>686</v>
      </c>
      <c r="D54" s="212"/>
      <c r="E54" s="212"/>
    </row>
    <row r="55" spans="1:5" ht="12.75">
      <c r="A55" s="203"/>
      <c r="B55" s="211" t="s">
        <v>127</v>
      </c>
      <c r="C55" s="183">
        <v>6862</v>
      </c>
      <c r="D55" s="212"/>
      <c r="E55" s="212"/>
    </row>
    <row r="56" spans="1:5" ht="12.75">
      <c r="A56" s="203"/>
      <c r="B56" s="211" t="s">
        <v>124</v>
      </c>
      <c r="C56" s="183">
        <v>6864</v>
      </c>
      <c r="D56" s="212"/>
      <c r="E56" s="212"/>
    </row>
    <row r="57" spans="1:5" ht="12.75">
      <c r="A57" s="203"/>
      <c r="B57" s="182" t="s">
        <v>128</v>
      </c>
      <c r="C57" s="183">
        <v>6865</v>
      </c>
      <c r="D57" s="212"/>
      <c r="E57" s="212"/>
    </row>
    <row r="58" spans="1:5" ht="13.5" thickBot="1">
      <c r="A58" s="214"/>
      <c r="B58" s="215" t="s">
        <v>129</v>
      </c>
      <c r="C58" s="216">
        <v>687</v>
      </c>
      <c r="D58" s="217"/>
      <c r="E58" s="217"/>
    </row>
    <row r="59" spans="1:8" ht="13.5" thickBot="1">
      <c r="A59" s="218">
        <v>11</v>
      </c>
      <c r="B59" s="175" t="s">
        <v>130</v>
      </c>
      <c r="C59" s="219"/>
      <c r="D59" s="201">
        <f>SUM(D60:D88)</f>
        <v>451775804.7</v>
      </c>
      <c r="E59" s="202">
        <f>SUM(E60:E88)</f>
        <v>411006909.43</v>
      </c>
      <c r="F59" s="220"/>
      <c r="G59" s="265"/>
      <c r="H59" s="265"/>
    </row>
    <row r="60" spans="1:8" ht="12.75">
      <c r="A60" s="221"/>
      <c r="B60" s="222" t="s">
        <v>131</v>
      </c>
      <c r="C60" s="223">
        <v>61</v>
      </c>
      <c r="D60" s="224"/>
      <c r="E60" s="224"/>
      <c r="F60" s="220"/>
      <c r="G60" s="265"/>
      <c r="H60" s="265"/>
    </row>
    <row r="61" spans="1:7" ht="12.75">
      <c r="A61" s="225"/>
      <c r="B61" s="226" t="s">
        <v>132</v>
      </c>
      <c r="C61" s="227">
        <v>611</v>
      </c>
      <c r="D61" s="212"/>
      <c r="E61" s="212"/>
      <c r="G61" s="265"/>
    </row>
    <row r="62" spans="1:7" ht="12.75">
      <c r="A62" s="197"/>
      <c r="B62" s="182" t="s">
        <v>77</v>
      </c>
      <c r="C62" s="228">
        <v>613</v>
      </c>
      <c r="D62" s="212">
        <f>421289+39046489</f>
        <v>39467778</v>
      </c>
      <c r="E62" s="212">
        <v>43035712</v>
      </c>
      <c r="G62" s="265"/>
    </row>
    <row r="63" spans="1:7" ht="12.75">
      <c r="A63" s="197"/>
      <c r="B63" s="182" t="s">
        <v>133</v>
      </c>
      <c r="C63" s="229">
        <v>615</v>
      </c>
      <c r="D63" s="212">
        <f>207975+91543482.53</f>
        <v>91751457.53</v>
      </c>
      <c r="E63" s="212">
        <v>66668515</v>
      </c>
      <c r="G63" s="265"/>
    </row>
    <row r="64" spans="1:7" ht="12.75">
      <c r="A64" s="197"/>
      <c r="B64" s="182" t="s">
        <v>134</v>
      </c>
      <c r="C64" s="229">
        <v>616</v>
      </c>
      <c r="D64" s="212"/>
      <c r="E64" s="212"/>
      <c r="G64" s="265"/>
    </row>
    <row r="65" spans="1:7" ht="12.75">
      <c r="A65" s="197"/>
      <c r="B65" s="182" t="s">
        <v>135</v>
      </c>
      <c r="C65" s="229">
        <v>617</v>
      </c>
      <c r="D65" s="212">
        <f>118702.67+5385356</f>
        <v>5504058.67</v>
      </c>
      <c r="E65" s="212">
        <v>5530598</v>
      </c>
      <c r="G65" s="265"/>
    </row>
    <row r="66" spans="1:5" ht="12.75">
      <c r="A66" s="197"/>
      <c r="B66" s="182" t="s">
        <v>47</v>
      </c>
      <c r="C66" s="229">
        <v>619</v>
      </c>
      <c r="D66" s="212">
        <f>12111000+1464714</f>
        <v>13575714</v>
      </c>
      <c r="E66" s="212"/>
    </row>
    <row r="67" spans="1:5" ht="12.75">
      <c r="A67" s="197"/>
      <c r="B67" s="182" t="s">
        <v>136</v>
      </c>
      <c r="C67" s="229">
        <v>62</v>
      </c>
      <c r="D67" s="212"/>
      <c r="E67" s="212"/>
    </row>
    <row r="68" spans="1:5" ht="12.75">
      <c r="A68" s="197"/>
      <c r="B68" s="182" t="s">
        <v>137</v>
      </c>
      <c r="C68" s="229">
        <v>621</v>
      </c>
      <c r="D68" s="212">
        <v>967580</v>
      </c>
      <c r="E68" s="212">
        <v>11898358</v>
      </c>
    </row>
    <row r="69" spans="1:5" ht="12.75">
      <c r="A69" s="197"/>
      <c r="B69" s="182" t="s">
        <v>138</v>
      </c>
      <c r="C69" s="229">
        <v>622</v>
      </c>
      <c r="D69" s="212"/>
      <c r="E69" s="212"/>
    </row>
    <row r="70" spans="1:8" ht="12.75">
      <c r="A70" s="197"/>
      <c r="B70" s="182" t="s">
        <v>139</v>
      </c>
      <c r="C70" s="229">
        <v>623</v>
      </c>
      <c r="D70" s="212"/>
      <c r="E70" s="212">
        <v>12125559</v>
      </c>
      <c r="H70" s="265"/>
    </row>
    <row r="71" spans="1:7" ht="12.75">
      <c r="A71" s="197"/>
      <c r="B71" s="182" t="s">
        <v>140</v>
      </c>
      <c r="C71" s="229">
        <v>624</v>
      </c>
      <c r="D71" s="212">
        <f>299550+124621767.5</f>
        <v>124921317.5</v>
      </c>
      <c r="E71" s="212">
        <v>102013017</v>
      </c>
      <c r="G71" s="265"/>
    </row>
    <row r="72" spans="1:13" ht="12.75">
      <c r="A72" s="197"/>
      <c r="B72" s="182" t="s">
        <v>141</v>
      </c>
      <c r="C72" s="229">
        <v>625</v>
      </c>
      <c r="D72" s="212">
        <v>12570502</v>
      </c>
      <c r="E72" s="212">
        <v>9283631</v>
      </c>
      <c r="F72" s="265"/>
      <c r="G72" s="265"/>
      <c r="H72" s="265"/>
      <c r="I72" s="266"/>
      <c r="J72" s="266"/>
      <c r="K72" s="266"/>
      <c r="L72" s="266"/>
      <c r="M72" s="266"/>
    </row>
    <row r="73" spans="1:13" ht="12.75">
      <c r="A73" s="197"/>
      <c r="B73" s="182" t="s">
        <v>142</v>
      </c>
      <c r="C73" s="229">
        <v>626</v>
      </c>
      <c r="D73" s="212">
        <v>29161080</v>
      </c>
      <c r="E73" s="212">
        <v>30575601</v>
      </c>
      <c r="F73" s="265"/>
      <c r="G73" s="265"/>
      <c r="H73" s="265"/>
      <c r="I73" s="266"/>
      <c r="J73" s="266"/>
      <c r="K73" s="266"/>
      <c r="L73" s="266"/>
      <c r="M73" s="266"/>
    </row>
    <row r="74" spans="1:13" ht="12.75">
      <c r="A74" s="197"/>
      <c r="B74" s="185" t="s">
        <v>143</v>
      </c>
      <c r="C74" s="229">
        <v>627</v>
      </c>
      <c r="D74" s="212">
        <f>77343966-15490013</f>
        <v>61853953</v>
      </c>
      <c r="E74" s="212">
        <v>71748015</v>
      </c>
      <c r="F74" s="265"/>
      <c r="G74" s="265"/>
      <c r="H74" s="265"/>
      <c r="I74" s="266"/>
      <c r="J74" s="266"/>
      <c r="K74" s="266"/>
      <c r="L74" s="266"/>
      <c r="M74" s="266"/>
    </row>
    <row r="75" spans="1:13" ht="12.75">
      <c r="A75" s="197"/>
      <c r="B75" s="182" t="s">
        <v>144</v>
      </c>
      <c r="C75" s="229">
        <v>628</v>
      </c>
      <c r="D75" s="212">
        <f>6471059+1100-4993</f>
        <v>6467166</v>
      </c>
      <c r="E75" s="212">
        <f>8294650+4031.43+6898</f>
        <v>8305579.43</v>
      </c>
      <c r="F75" s="265"/>
      <c r="G75" s="265"/>
      <c r="H75" s="265"/>
      <c r="I75" s="266"/>
      <c r="J75" s="266"/>
      <c r="K75" s="266"/>
      <c r="L75" s="266"/>
      <c r="M75" s="266"/>
    </row>
    <row r="76" spans="1:13" ht="12.75">
      <c r="A76" s="197"/>
      <c r="B76" s="182" t="s">
        <v>145</v>
      </c>
      <c r="C76" s="229">
        <v>63</v>
      </c>
      <c r="D76" s="212"/>
      <c r="E76" s="212"/>
      <c r="F76" s="265"/>
      <c r="G76" s="265"/>
      <c r="H76" s="265"/>
      <c r="I76" s="266"/>
      <c r="J76" s="266"/>
      <c r="K76" s="266"/>
      <c r="L76" s="266"/>
      <c r="M76" s="266"/>
    </row>
    <row r="77" spans="1:13" ht="12.75">
      <c r="A77" s="197"/>
      <c r="B77" s="182" t="s">
        <v>146</v>
      </c>
      <c r="C77" s="229">
        <v>631</v>
      </c>
      <c r="D77" s="212">
        <v>121745</v>
      </c>
      <c r="E77" s="212">
        <v>1789117</v>
      </c>
      <c r="F77" s="265"/>
      <c r="G77" s="265"/>
      <c r="H77" s="265"/>
      <c r="I77" s="266"/>
      <c r="J77" s="266"/>
      <c r="K77" s="266"/>
      <c r="L77" s="266"/>
      <c r="M77" s="266"/>
    </row>
    <row r="78" spans="1:13" ht="12.75">
      <c r="A78" s="197"/>
      <c r="B78" s="182" t="s">
        <v>147</v>
      </c>
      <c r="C78" s="229">
        <v>632</v>
      </c>
      <c r="D78" s="212"/>
      <c r="E78" s="212">
        <v>6583366</v>
      </c>
      <c r="F78" s="265"/>
      <c r="G78" s="265"/>
      <c r="H78" s="265"/>
      <c r="I78" s="266"/>
      <c r="J78" s="266"/>
      <c r="K78" s="266"/>
      <c r="L78" s="266"/>
      <c r="M78" s="266"/>
    </row>
    <row r="79" spans="1:13" ht="12.75">
      <c r="A79" s="197"/>
      <c r="B79" s="182" t="s">
        <v>148</v>
      </c>
      <c r="C79" s="229">
        <v>633</v>
      </c>
      <c r="D79" s="212">
        <v>7993926</v>
      </c>
      <c r="E79" s="212"/>
      <c r="F79" s="265"/>
      <c r="G79" s="265"/>
      <c r="H79" s="265"/>
      <c r="I79" s="266"/>
      <c r="J79" s="266"/>
      <c r="K79" s="266"/>
      <c r="L79" s="266"/>
      <c r="M79" s="266"/>
    </row>
    <row r="80" spans="1:13" ht="12.75">
      <c r="A80" s="197"/>
      <c r="B80" s="182" t="s">
        <v>149</v>
      </c>
      <c r="C80" s="229">
        <v>638</v>
      </c>
      <c r="D80" s="212"/>
      <c r="E80" s="212"/>
      <c r="F80" s="265"/>
      <c r="G80" s="265"/>
      <c r="H80" s="265"/>
      <c r="I80" s="266"/>
      <c r="J80" s="266"/>
      <c r="K80" s="266"/>
      <c r="L80" s="266"/>
      <c r="M80" s="266"/>
    </row>
    <row r="81" spans="1:13" ht="12.75">
      <c r="A81" s="197"/>
      <c r="B81" s="171" t="s">
        <v>116</v>
      </c>
      <c r="C81" s="229">
        <v>648</v>
      </c>
      <c r="D81" s="194">
        <v>2037869</v>
      </c>
      <c r="E81" s="194"/>
      <c r="F81" s="265"/>
      <c r="G81" s="265"/>
      <c r="H81" s="265"/>
      <c r="I81" s="266"/>
      <c r="J81" s="266"/>
      <c r="K81" s="266"/>
      <c r="L81" s="266"/>
      <c r="M81" s="266"/>
    </row>
    <row r="82" spans="1:13" ht="12.75">
      <c r="A82" s="197"/>
      <c r="B82" s="182" t="s">
        <v>150</v>
      </c>
      <c r="C82" s="229">
        <v>65</v>
      </c>
      <c r="D82" s="212"/>
      <c r="E82" s="212"/>
      <c r="F82" s="265"/>
      <c r="G82" s="265"/>
      <c r="H82" s="265"/>
      <c r="I82" s="266"/>
      <c r="J82" s="266"/>
      <c r="K82" s="266"/>
      <c r="L82" s="266"/>
      <c r="M82" s="266"/>
    </row>
    <row r="83" spans="1:13" ht="12.75">
      <c r="A83" s="197"/>
      <c r="B83" s="182" t="s">
        <v>151</v>
      </c>
      <c r="C83" s="229">
        <v>652</v>
      </c>
      <c r="D83" s="212">
        <v>4626464</v>
      </c>
      <c r="E83" s="212">
        <v>20391397</v>
      </c>
      <c r="F83" s="265"/>
      <c r="G83" s="265"/>
      <c r="H83" s="265"/>
      <c r="I83" s="266"/>
      <c r="J83" s="266"/>
      <c r="K83" s="266"/>
      <c r="L83" s="266"/>
      <c r="M83" s="266"/>
    </row>
    <row r="84" spans="1:13" ht="12.75">
      <c r="A84" s="197"/>
      <c r="B84" s="182" t="s">
        <v>152</v>
      </c>
      <c r="C84" s="229">
        <v>653</v>
      </c>
      <c r="D84" s="212">
        <v>1196400</v>
      </c>
      <c r="E84" s="212"/>
      <c r="F84" s="265"/>
      <c r="G84" s="265"/>
      <c r="H84" s="265"/>
      <c r="I84" s="266"/>
      <c r="J84" s="266"/>
      <c r="K84" s="266"/>
      <c r="L84" s="266"/>
      <c r="M84" s="266"/>
    </row>
    <row r="85" spans="1:13" ht="12.75">
      <c r="A85" s="197"/>
      <c r="B85" s="182" t="s">
        <v>153</v>
      </c>
      <c r="C85" s="229">
        <v>654</v>
      </c>
      <c r="D85" s="212">
        <v>39514681</v>
      </c>
      <c r="E85" s="212">
        <v>15278503</v>
      </c>
      <c r="F85" s="265"/>
      <c r="G85" s="265"/>
      <c r="H85" s="265"/>
      <c r="I85" s="266"/>
      <c r="J85" s="266"/>
      <c r="K85" s="266"/>
      <c r="L85" s="266"/>
      <c r="M85" s="266"/>
    </row>
    <row r="86" spans="1:13" ht="12.75">
      <c r="A86" s="197"/>
      <c r="B86" s="182" t="s">
        <v>154</v>
      </c>
      <c r="C86" s="229">
        <v>656</v>
      </c>
      <c r="D86" s="212"/>
      <c r="E86" s="212"/>
      <c r="F86" s="265"/>
      <c r="G86" s="265"/>
      <c r="H86" s="265"/>
      <c r="I86" s="266"/>
      <c r="J86" s="266"/>
      <c r="K86" s="266"/>
      <c r="L86" s="266"/>
      <c r="M86" s="266"/>
    </row>
    <row r="87" spans="1:13" ht="12.75">
      <c r="A87" s="197"/>
      <c r="B87" s="182" t="s">
        <v>156</v>
      </c>
      <c r="C87" s="229">
        <v>657</v>
      </c>
      <c r="D87" s="212">
        <f>6000+9366789-377560</f>
        <v>8995229</v>
      </c>
      <c r="E87" s="212">
        <v>4394932</v>
      </c>
      <c r="F87" s="265"/>
      <c r="G87" s="265"/>
      <c r="H87" s="265"/>
      <c r="I87" s="266"/>
      <c r="J87" s="266"/>
      <c r="K87" s="266"/>
      <c r="L87" s="266"/>
      <c r="M87" s="266"/>
    </row>
    <row r="88" spans="1:13" ht="13.5" thickBot="1">
      <c r="A88" s="230"/>
      <c r="B88" s="171" t="s">
        <v>157</v>
      </c>
      <c r="C88" s="229">
        <v>658</v>
      </c>
      <c r="D88" s="212">
        <v>1048884</v>
      </c>
      <c r="E88" s="212">
        <v>1385009</v>
      </c>
      <c r="F88" s="265"/>
      <c r="G88" s="265"/>
      <c r="H88" s="265"/>
      <c r="I88" s="266"/>
      <c r="J88" s="266"/>
      <c r="K88" s="266"/>
      <c r="L88" s="266"/>
      <c r="M88" s="266"/>
    </row>
    <row r="89" spans="1:13" ht="15.75" customHeight="1" thickBot="1">
      <c r="A89" s="231">
        <v>12</v>
      </c>
      <c r="B89" s="232" t="s">
        <v>158</v>
      </c>
      <c r="C89" s="233"/>
      <c r="D89" s="234">
        <f>+D30+D42+D47+D59</f>
        <v>5334883513.7</v>
      </c>
      <c r="E89" s="234">
        <f>+E30+E42+E47+E59</f>
        <v>4954892126.43</v>
      </c>
      <c r="F89" s="265"/>
      <c r="G89" s="265"/>
      <c r="H89" s="265"/>
      <c r="I89" s="266"/>
      <c r="J89" s="266"/>
      <c r="K89" s="266"/>
      <c r="L89" s="266"/>
      <c r="M89" s="266"/>
    </row>
    <row r="90" spans="1:13" ht="13.5" thickBot="1">
      <c r="A90" s="235">
        <v>13</v>
      </c>
      <c r="B90" s="236" t="s">
        <v>159</v>
      </c>
      <c r="C90" s="176"/>
      <c r="D90" s="201">
        <f>D29-D89</f>
        <v>437305190.3000002</v>
      </c>
      <c r="E90" s="201">
        <f>E29-E89</f>
        <v>450213867.5699997</v>
      </c>
      <c r="F90" s="265"/>
      <c r="G90" s="265"/>
      <c r="H90" s="265"/>
      <c r="I90" s="266"/>
      <c r="J90" s="266"/>
      <c r="K90" s="266"/>
      <c r="L90" s="266"/>
      <c r="M90" s="266"/>
    </row>
    <row r="91" spans="1:5" ht="12.75">
      <c r="A91" s="237">
        <v>14</v>
      </c>
      <c r="B91" s="167" t="s">
        <v>160</v>
      </c>
      <c r="C91" s="238"/>
      <c r="D91" s="196"/>
      <c r="E91" s="196"/>
    </row>
    <row r="92" spans="1:5" ht="12.75">
      <c r="A92" s="197"/>
      <c r="B92" s="182" t="s">
        <v>161</v>
      </c>
      <c r="C92" s="239">
        <v>761</v>
      </c>
      <c r="D92" s="212">
        <v>110409</v>
      </c>
      <c r="E92" s="212"/>
    </row>
    <row r="93" spans="1:5" ht="12.75">
      <c r="A93" s="197"/>
      <c r="B93" s="182" t="s">
        <v>162</v>
      </c>
      <c r="C93" s="239">
        <v>661</v>
      </c>
      <c r="D93" s="212">
        <v>-48058588</v>
      </c>
      <c r="E93" s="212">
        <v>-39905241</v>
      </c>
    </row>
    <row r="94" spans="1:5" ht="12.75">
      <c r="A94" s="197">
        <v>15</v>
      </c>
      <c r="B94" s="182" t="s">
        <v>163</v>
      </c>
      <c r="C94" s="239"/>
      <c r="D94" s="212"/>
      <c r="E94" s="212"/>
    </row>
    <row r="95" spans="1:5" ht="12.75">
      <c r="A95" s="197"/>
      <c r="B95" s="182" t="s">
        <v>164</v>
      </c>
      <c r="C95" s="239">
        <v>762</v>
      </c>
      <c r="D95" s="212"/>
      <c r="E95" s="212"/>
    </row>
    <row r="96" spans="1:5" ht="12.75">
      <c r="A96" s="197"/>
      <c r="B96" s="182" t="s">
        <v>165</v>
      </c>
      <c r="C96" s="239">
        <v>662</v>
      </c>
      <c r="D96" s="212"/>
      <c r="E96" s="212"/>
    </row>
    <row r="97" spans="1:5" ht="12.75">
      <c r="A97" s="197">
        <v>16</v>
      </c>
      <c r="B97" s="182" t="s">
        <v>166</v>
      </c>
      <c r="C97" s="239"/>
      <c r="D97" s="212"/>
      <c r="E97" s="212"/>
    </row>
    <row r="98" spans="1:5" ht="13.5" customHeight="1">
      <c r="A98" s="240">
        <v>16.1</v>
      </c>
      <c r="B98" s="182" t="s">
        <v>167</v>
      </c>
      <c r="C98" s="239"/>
      <c r="D98" s="212"/>
      <c r="E98" s="212"/>
    </row>
    <row r="99" spans="1:5" ht="15" customHeight="1">
      <c r="A99" s="240"/>
      <c r="B99" s="182" t="s">
        <v>168</v>
      </c>
      <c r="C99" s="239">
        <v>763</v>
      </c>
      <c r="D99" s="212"/>
      <c r="E99" s="212"/>
    </row>
    <row r="100" spans="1:5" ht="12.75">
      <c r="A100" s="197"/>
      <c r="B100" s="182" t="s">
        <v>169</v>
      </c>
      <c r="C100" s="239">
        <v>764</v>
      </c>
      <c r="D100" s="212"/>
      <c r="E100" s="212"/>
    </row>
    <row r="101" spans="1:5" ht="12.75">
      <c r="A101" s="197"/>
      <c r="B101" s="182" t="s">
        <v>170</v>
      </c>
      <c r="C101" s="239">
        <v>765</v>
      </c>
      <c r="D101" s="212"/>
      <c r="E101" s="212"/>
    </row>
    <row r="102" spans="1:5" ht="12.75">
      <c r="A102" s="197"/>
      <c r="B102" s="182" t="s">
        <v>171</v>
      </c>
      <c r="C102" s="239">
        <v>665</v>
      </c>
      <c r="D102" s="212"/>
      <c r="E102" s="212"/>
    </row>
    <row r="103" spans="1:5" ht="12.75">
      <c r="A103" s="240">
        <v>16.2</v>
      </c>
      <c r="B103" s="182" t="s">
        <v>172</v>
      </c>
      <c r="C103" s="239"/>
      <c r="D103" s="212"/>
      <c r="E103" s="212"/>
    </row>
    <row r="104" spans="1:5" ht="12.75">
      <c r="A104" s="240"/>
      <c r="B104" s="182" t="s">
        <v>173</v>
      </c>
      <c r="C104" s="239">
        <v>767</v>
      </c>
      <c r="D104" s="212"/>
      <c r="E104" s="212">
        <v>198357</v>
      </c>
    </row>
    <row r="105" spans="1:5" ht="12.75">
      <c r="A105" s="240">
        <v>16.3</v>
      </c>
      <c r="B105" s="182" t="s">
        <v>174</v>
      </c>
      <c r="C105" s="239"/>
      <c r="D105" s="241"/>
      <c r="E105" s="241"/>
    </row>
    <row r="106" spans="1:5" ht="12.75">
      <c r="A106" s="240"/>
      <c r="B106" s="182" t="s">
        <v>175</v>
      </c>
      <c r="C106" s="239">
        <v>766</v>
      </c>
      <c r="D106" s="212"/>
      <c r="E106" s="212">
        <v>-1861177</v>
      </c>
    </row>
    <row r="107" spans="1:5" ht="12.75">
      <c r="A107" s="240"/>
      <c r="B107" s="182" t="s">
        <v>176</v>
      </c>
      <c r="C107" s="239">
        <v>666</v>
      </c>
      <c r="D107" s="212">
        <v>-7476472</v>
      </c>
      <c r="E107" s="212">
        <v>-2171530</v>
      </c>
    </row>
    <row r="108" spans="1:5" ht="12.75">
      <c r="A108" s="240">
        <v>16.4</v>
      </c>
      <c r="B108" s="182" t="s">
        <v>177</v>
      </c>
      <c r="C108" s="239"/>
      <c r="D108" s="212"/>
      <c r="E108" s="212"/>
    </row>
    <row r="109" spans="1:5" ht="12.75">
      <c r="A109" s="240"/>
      <c r="B109" s="182" t="s">
        <v>178</v>
      </c>
      <c r="C109" s="239">
        <v>768</v>
      </c>
      <c r="D109" s="212"/>
      <c r="E109" s="212"/>
    </row>
    <row r="110" spans="1:5" ht="13.5" thickBot="1">
      <c r="A110" s="242"/>
      <c r="B110" s="171" t="s">
        <v>562</v>
      </c>
      <c r="C110" s="243">
        <v>668</v>
      </c>
      <c r="D110" s="194">
        <f>-2711691.7-13820</f>
        <v>-2725511.7</v>
      </c>
      <c r="E110" s="194">
        <v>-45934349</v>
      </c>
    </row>
    <row r="111" spans="1:5" ht="13.5" thickBot="1">
      <c r="A111" s="244">
        <v>17</v>
      </c>
      <c r="B111" s="245" t="s">
        <v>179</v>
      </c>
      <c r="C111" s="176"/>
      <c r="D111" s="201">
        <f>SUM(D91:D110)</f>
        <v>-58150162.7</v>
      </c>
      <c r="E111" s="202">
        <f>SUM(E91:E110)</f>
        <v>-89673940</v>
      </c>
    </row>
    <row r="112" spans="1:5" ht="13.5" thickBot="1">
      <c r="A112" s="244">
        <v>18</v>
      </c>
      <c r="B112" s="246" t="s">
        <v>180</v>
      </c>
      <c r="C112" s="176" t="s">
        <v>181</v>
      </c>
      <c r="D112" s="201">
        <f>SUM(D113:D122)</f>
        <v>0</v>
      </c>
      <c r="E112" s="202">
        <f>SUM(E113:E122)</f>
        <v>0</v>
      </c>
    </row>
    <row r="113" spans="1:5" ht="12.75">
      <c r="A113" s="247"/>
      <c r="B113" s="167" t="s">
        <v>182</v>
      </c>
      <c r="C113" s="238">
        <v>771</v>
      </c>
      <c r="D113" s="196"/>
      <c r="E113" s="248"/>
    </row>
    <row r="114" spans="1:5" ht="12.75">
      <c r="A114" s="240"/>
      <c r="B114" s="182" t="s">
        <v>183</v>
      </c>
      <c r="C114" s="239">
        <v>772</v>
      </c>
      <c r="D114" s="212"/>
      <c r="E114" s="249"/>
    </row>
    <row r="115" spans="1:5" ht="12.75">
      <c r="A115" s="240"/>
      <c r="B115" s="182" t="s">
        <v>184</v>
      </c>
      <c r="C115" s="239">
        <v>773</v>
      </c>
      <c r="D115" s="212"/>
      <c r="E115" s="249"/>
    </row>
    <row r="116" spans="1:5" ht="12.75">
      <c r="A116" s="240"/>
      <c r="B116" s="182" t="s">
        <v>185</v>
      </c>
      <c r="C116" s="239">
        <v>777</v>
      </c>
      <c r="D116" s="212"/>
      <c r="E116" s="249"/>
    </row>
    <row r="117" spans="1:5" ht="12.75">
      <c r="A117" s="240"/>
      <c r="B117" s="182" t="s">
        <v>186</v>
      </c>
      <c r="C117" s="239">
        <v>778</v>
      </c>
      <c r="D117" s="212"/>
      <c r="E117" s="249"/>
    </row>
    <row r="118" spans="1:5" ht="12.75">
      <c r="A118" s="240"/>
      <c r="B118" s="182" t="s">
        <v>187</v>
      </c>
      <c r="C118" s="239">
        <v>671</v>
      </c>
      <c r="D118" s="212"/>
      <c r="E118" s="249"/>
    </row>
    <row r="119" spans="1:5" ht="12.75">
      <c r="A119" s="240"/>
      <c r="B119" s="182" t="s">
        <v>188</v>
      </c>
      <c r="C119" s="239">
        <v>672</v>
      </c>
      <c r="D119" s="212"/>
      <c r="E119" s="249"/>
    </row>
    <row r="120" spans="1:5" ht="12.75">
      <c r="A120" s="240"/>
      <c r="B120" s="182" t="s">
        <v>189</v>
      </c>
      <c r="C120" s="239">
        <v>673</v>
      </c>
      <c r="D120" s="212"/>
      <c r="E120" s="249"/>
    </row>
    <row r="121" spans="1:5" ht="12.75">
      <c r="A121" s="240"/>
      <c r="B121" s="182" t="s">
        <v>190</v>
      </c>
      <c r="C121" s="239">
        <v>677</v>
      </c>
      <c r="D121" s="212"/>
      <c r="E121" s="249"/>
    </row>
    <row r="122" spans="1:5" ht="13.5" thickBot="1">
      <c r="A122" s="242"/>
      <c r="B122" s="171" t="s">
        <v>191</v>
      </c>
      <c r="C122" s="243">
        <v>678</v>
      </c>
      <c r="D122" s="194"/>
      <c r="E122" s="210"/>
    </row>
    <row r="123" spans="1:5" ht="13.5" thickBot="1">
      <c r="A123" s="250">
        <v>19</v>
      </c>
      <c r="B123" s="251" t="s">
        <v>192</v>
      </c>
      <c r="C123" s="252"/>
      <c r="D123" s="234">
        <f>D90+D111+D112</f>
        <v>379155027.6000002</v>
      </c>
      <c r="E123" s="234">
        <f>E90+E111+E112</f>
        <v>360539927.5699997</v>
      </c>
    </row>
    <row r="124" spans="1:5" ht="12.75">
      <c r="A124" s="247"/>
      <c r="B124" s="167" t="s">
        <v>193</v>
      </c>
      <c r="C124" s="238">
        <v>694</v>
      </c>
      <c r="D124" s="196">
        <f>Rezultati!D22</f>
        <v>41181565.96000002</v>
      </c>
      <c r="E124" s="248">
        <v>36649063</v>
      </c>
    </row>
    <row r="125" spans="1:5" ht="13.5" thickBot="1">
      <c r="A125" s="253"/>
      <c r="B125" s="254" t="s">
        <v>195</v>
      </c>
      <c r="C125" s="255">
        <v>121</v>
      </c>
      <c r="D125" s="217"/>
      <c r="E125" s="256"/>
    </row>
    <row r="126" spans="1:5" ht="16.5" thickBot="1">
      <c r="A126" s="257"/>
      <c r="B126" s="258" t="s">
        <v>196</v>
      </c>
      <c r="C126" s="259">
        <v>121</v>
      </c>
      <c r="D126" s="260">
        <f>+D123-D124</f>
        <v>337973461.64000016</v>
      </c>
      <c r="E126" s="261">
        <f>+E123-E124</f>
        <v>323890864.5699997</v>
      </c>
    </row>
    <row r="127" ht="13.5" thickTop="1"/>
    <row r="128" ht="12.75">
      <c r="D128" s="436"/>
    </row>
  </sheetData>
  <sheetProtection password="CA0B" sheet="1" objects="1" scenarios="1" selectLockedCells="1" selectUnlockedCells="1"/>
  <mergeCells count="4">
    <mergeCell ref="E1:E2"/>
    <mergeCell ref="A1:A2"/>
    <mergeCell ref="B1:B2"/>
    <mergeCell ref="D1:D2"/>
  </mergeCells>
  <printOptions gridLines="1" horizontalCentered="1"/>
  <pageMargins left="0.31496062992125984" right="0.11811023622047245" top="0.93" bottom="0.5118110236220472" header="0.5118110236220472" footer="0.5118110236220472"/>
  <pageSetup orientation="portrait" scale="73" r:id="rId1"/>
  <headerFooter alignWithMargins="0">
    <oddHeader>&amp;LSHOQERIA"ALFA"SHA
VRISERA-GJIROKASTER
NIPT J62903630D</oddHead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22"/>
  <sheetViews>
    <sheetView workbookViewId="0" topLeftCell="B1">
      <selection activeCell="C15" sqref="C15"/>
    </sheetView>
  </sheetViews>
  <sheetFormatPr defaultColWidth="9.140625" defaultRowHeight="12.75"/>
  <cols>
    <col min="1" max="1" width="16.8515625" style="0" customWidth="1"/>
    <col min="2" max="2" width="55.421875" style="27" customWidth="1"/>
    <col min="3" max="3" width="13.28125" style="27" customWidth="1"/>
    <col min="4" max="4" width="24.140625" style="0" customWidth="1"/>
  </cols>
  <sheetData>
    <row r="1" ht="12.75"/>
    <row r="2" ht="13.5" thickBot="1"/>
    <row r="3" spans="2:4" ht="33" customHeight="1" thickBot="1" thickTop="1">
      <c r="B3" s="460" t="s">
        <v>563</v>
      </c>
      <c r="C3" s="160" t="s">
        <v>68</v>
      </c>
      <c r="D3" s="464" t="s">
        <v>291</v>
      </c>
    </row>
    <row r="4" spans="2:4" ht="23.25" customHeight="1" thickBot="1">
      <c r="B4" s="461"/>
      <c r="C4" s="161" t="s">
        <v>69</v>
      </c>
      <c r="D4" s="465"/>
    </row>
    <row r="5" spans="2:4" ht="23.25" customHeight="1" thickBot="1">
      <c r="B5" s="419" t="s">
        <v>564</v>
      </c>
      <c r="C5" s="419"/>
      <c r="D5" s="165">
        <f>SUM(D6:D8)</f>
        <v>0</v>
      </c>
    </row>
    <row r="6" spans="2:4" ht="12.75">
      <c r="B6" s="420" t="s">
        <v>565</v>
      </c>
      <c r="C6" s="420"/>
      <c r="D6" s="421"/>
    </row>
    <row r="7" spans="2:4" ht="12.75">
      <c r="B7" s="422" t="s">
        <v>566</v>
      </c>
      <c r="C7" s="423"/>
      <c r="D7" s="424"/>
    </row>
    <row r="8" spans="2:4" ht="13.5" thickBot="1">
      <c r="B8" s="425" t="s">
        <v>194</v>
      </c>
      <c r="C8" s="425"/>
      <c r="D8" s="426"/>
    </row>
    <row r="9" spans="2:4" ht="13.5" thickBot="1">
      <c r="B9" s="419" t="s">
        <v>567</v>
      </c>
      <c r="C9" s="419"/>
      <c r="D9" s="165">
        <f>'PASH ANALITIK'!D123</f>
        <v>379155027.6000002</v>
      </c>
    </row>
    <row r="10" spans="2:4" ht="13.5" thickBot="1">
      <c r="B10" s="419" t="s">
        <v>568</v>
      </c>
      <c r="C10" s="419"/>
      <c r="D10" s="165">
        <f>SUM(D11:D17)</f>
        <v>32660632</v>
      </c>
    </row>
    <row r="11" spans="2:4" ht="12.75">
      <c r="B11" s="427" t="s">
        <v>569</v>
      </c>
      <c r="C11" s="420"/>
      <c r="D11" s="428"/>
    </row>
    <row r="12" spans="2:4" ht="12.75">
      <c r="B12" s="429" t="s">
        <v>45</v>
      </c>
      <c r="C12" s="429">
        <v>654</v>
      </c>
      <c r="D12" s="430">
        <v>22314681</v>
      </c>
    </row>
    <row r="13" spans="2:4" ht="12.75">
      <c r="B13" s="429" t="s">
        <v>570</v>
      </c>
      <c r="C13" s="429">
        <v>657</v>
      </c>
      <c r="D13" s="430">
        <v>8995229</v>
      </c>
    </row>
    <row r="14" spans="2:4" ht="12.75">
      <c r="B14" s="429" t="s">
        <v>46</v>
      </c>
      <c r="C14" s="429">
        <v>653</v>
      </c>
      <c r="D14" s="430">
        <f>1196400+21422+132900</f>
        <v>1350722</v>
      </c>
    </row>
    <row r="15" spans="2:4" ht="12.75">
      <c r="B15" s="429" t="s">
        <v>571</v>
      </c>
      <c r="C15" s="429"/>
      <c r="D15" s="430"/>
    </row>
    <row r="16" spans="2:4" ht="12.75">
      <c r="B16" s="429" t="s">
        <v>572</v>
      </c>
      <c r="C16" s="429"/>
      <c r="D16" s="430"/>
    </row>
    <row r="17" spans="2:4" ht="13.5" thickBot="1">
      <c r="B17" s="425" t="s">
        <v>573</v>
      </c>
      <c r="C17" s="425"/>
      <c r="D17" s="431"/>
    </row>
    <row r="18" spans="2:4" ht="13.5" thickBot="1">
      <c r="B18" s="419" t="s">
        <v>574</v>
      </c>
      <c r="C18" s="419"/>
      <c r="D18" s="165">
        <f>+D9+D10</f>
        <v>411815659.6000002</v>
      </c>
    </row>
    <row r="19" spans="2:4" ht="13.5" thickBot="1">
      <c r="B19" s="419" t="s">
        <v>575</v>
      </c>
      <c r="C19" s="419"/>
      <c r="D19" s="165"/>
    </row>
    <row r="20" spans="2:4" ht="13.5" thickBot="1">
      <c r="B20" s="419" t="s">
        <v>576</v>
      </c>
      <c r="C20" s="419"/>
      <c r="D20" s="165">
        <f>D18+D19</f>
        <v>411815659.6000002</v>
      </c>
    </row>
    <row r="21" spans="2:4" ht="13.5" thickBot="1">
      <c r="B21" s="419" t="s">
        <v>577</v>
      </c>
      <c r="C21" s="432"/>
      <c r="D21" s="165">
        <v>0.1</v>
      </c>
    </row>
    <row r="22" spans="2:4" ht="13.5" thickBot="1">
      <c r="B22" s="433" t="s">
        <v>578</v>
      </c>
      <c r="C22" s="433"/>
      <c r="D22" s="434">
        <f>D20*D21</f>
        <v>41181565.96000002</v>
      </c>
    </row>
    <row r="23" ht="13.5" thickTop="1"/>
  </sheetData>
  <sheetProtection password="CA0B" sheet="1" objects="1" scenarios="1" selectLockedCells="1" selectUnlockedCells="1"/>
  <mergeCells count="2">
    <mergeCell ref="B3:B4"/>
    <mergeCell ref="D3:D4"/>
  </mergeCells>
  <printOptions gridLines="1" horizontalCentered="1"/>
  <pageMargins left="0.31496062992125984" right="0.11811023622047245" top="0.93" bottom="0.5118110236220472" header="0.5118110236220472" footer="0.5118110236220472"/>
  <pageSetup orientation="portrait" scale="73" r:id="rId3"/>
  <headerFooter alignWithMargins="0">
    <oddHeader>&amp;LSHOQERIA"ALFA"SHA
VRISERA-GJIROKASTER
NIPT J62903630D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739"/>
  <sheetViews>
    <sheetView workbookViewId="0" topLeftCell="A10">
      <selection activeCell="F31" sqref="F31"/>
    </sheetView>
  </sheetViews>
  <sheetFormatPr defaultColWidth="9.140625" defaultRowHeight="12.75"/>
  <cols>
    <col min="1" max="1" width="6.28125" style="0" customWidth="1"/>
    <col min="2" max="2" width="6.8515625" style="0" customWidth="1"/>
    <col min="3" max="3" width="61.140625" style="2" customWidth="1"/>
    <col min="4" max="4" width="0.5625" style="2" customWidth="1"/>
    <col min="5" max="5" width="1.1484375" style="2" customWidth="1"/>
    <col min="6" max="6" width="17.57421875" style="308" customWidth="1"/>
    <col min="7" max="7" width="18.7109375" style="309" bestFit="1" customWidth="1"/>
    <col min="8" max="8" width="0.9921875" style="2" customWidth="1"/>
    <col min="9" max="16384" width="8.8515625" style="0" customWidth="1"/>
  </cols>
  <sheetData>
    <row r="1" ht="12.75"/>
    <row r="2" ht="12.75">
      <c r="C2" s="305"/>
    </row>
    <row r="3" ht="12.75">
      <c r="C3" s="305"/>
    </row>
    <row r="4" ht="12.75">
      <c r="C4" s="305"/>
    </row>
    <row r="5" spans="3:8" ht="18.75">
      <c r="C5" s="466"/>
      <c r="D5" s="466"/>
      <c r="E5" s="466"/>
      <c r="F5" s="310"/>
      <c r="H5" s="1"/>
    </row>
    <row r="6" spans="3:8" ht="2.25" customHeight="1" thickBot="1">
      <c r="C6" s="17" t="s">
        <v>373</v>
      </c>
      <c r="D6" s="1"/>
      <c r="E6" s="1"/>
      <c r="F6" s="310"/>
      <c r="G6" s="311"/>
      <c r="H6" s="1"/>
    </row>
    <row r="7" spans="3:8" ht="14.25" thickBot="1" thickTop="1">
      <c r="C7" s="3" t="s">
        <v>86</v>
      </c>
      <c r="D7" s="4" t="s">
        <v>375</v>
      </c>
      <c r="E7" s="5"/>
      <c r="F7" s="312"/>
      <c r="G7" s="313"/>
      <c r="H7" s="6"/>
    </row>
    <row r="8" spans="3:8" ht="14.25" thickBot="1" thickTop="1">
      <c r="C8" s="3" t="s">
        <v>374</v>
      </c>
      <c r="D8" s="7" t="s">
        <v>278</v>
      </c>
      <c r="E8" s="5"/>
      <c r="F8" s="312"/>
      <c r="G8" s="313"/>
      <c r="H8" s="6"/>
    </row>
    <row r="9" spans="3:8" ht="14.25" thickBot="1" thickTop="1">
      <c r="C9" s="3"/>
      <c r="D9" s="1"/>
      <c r="E9" s="1"/>
      <c r="F9" s="310"/>
      <c r="G9" s="311"/>
      <c r="H9" s="1"/>
    </row>
    <row r="10" spans="3:8" ht="14.25" thickBot="1" thickTop="1">
      <c r="C10" s="3" t="s">
        <v>355</v>
      </c>
      <c r="D10" s="8">
        <v>2008</v>
      </c>
      <c r="E10" s="416">
        <v>2008</v>
      </c>
      <c r="F10" s="314">
        <v>2010</v>
      </c>
      <c r="G10" s="311"/>
      <c r="H10" s="1"/>
    </row>
    <row r="11" spans="3:8" ht="13.5" thickTop="1">
      <c r="C11" s="3"/>
      <c r="D11" s="9"/>
      <c r="E11" s="416"/>
      <c r="F11" s="314"/>
      <c r="G11" s="311"/>
      <c r="H11" s="1"/>
    </row>
    <row r="12" spans="3:8" ht="13.5" thickBot="1">
      <c r="C12" s="3"/>
      <c r="D12" s="9"/>
      <c r="E12" s="416"/>
      <c r="F12" s="314"/>
      <c r="G12" s="311"/>
      <c r="H12" s="1"/>
    </row>
    <row r="13" spans="3:8" ht="14.25" thickBot="1" thickTop="1">
      <c r="C13" s="3" t="s">
        <v>354</v>
      </c>
      <c r="D13" s="8">
        <v>5</v>
      </c>
      <c r="E13" s="416">
        <v>2</v>
      </c>
      <c r="F13" s="314">
        <v>2</v>
      </c>
      <c r="G13" s="311"/>
      <c r="H13" s="1"/>
    </row>
    <row r="14" spans="3:8" ht="13.5" thickTop="1">
      <c r="C14" s="10"/>
      <c r="D14" s="1"/>
      <c r="E14" s="1"/>
      <c r="F14" s="310"/>
      <c r="G14" s="311"/>
      <c r="H14" s="1"/>
    </row>
    <row r="15" spans="3:8" ht="12.75">
      <c r="C15" s="10"/>
      <c r="D15" s="1"/>
      <c r="E15" s="1"/>
      <c r="F15" s="310"/>
      <c r="G15" s="311"/>
      <c r="H15" s="1"/>
    </row>
    <row r="16" spans="3:8" ht="12.75">
      <c r="C16" s="10"/>
      <c r="D16" s="15"/>
      <c r="E16" s="15"/>
      <c r="F16" s="314"/>
      <c r="G16" s="314"/>
      <c r="H16" s="15"/>
    </row>
    <row r="17" spans="2:8" s="280" customFormat="1" ht="18.75">
      <c r="B17" s="390"/>
      <c r="C17" s="405" t="s">
        <v>356</v>
      </c>
      <c r="D17" s="376">
        <f>IF($D$13&gt;4,$E$17+1," ")</f>
        <v>2012</v>
      </c>
      <c r="E17" s="376">
        <f>IF($D$13&gt;3,$F$17+1," ")</f>
        <v>2011</v>
      </c>
      <c r="F17" s="376">
        <f>IF($D$13&gt;2,$G$17+1," ")</f>
        <v>2010</v>
      </c>
      <c r="G17" s="376">
        <f>IF($D$13&gt;1,$H$17+1," ")</f>
        <v>2009</v>
      </c>
      <c r="H17" s="406">
        <f>D10</f>
        <v>2008</v>
      </c>
    </row>
    <row r="18" spans="2:8" ht="12.75">
      <c r="B18" s="402" t="s">
        <v>419</v>
      </c>
      <c r="C18" s="262" t="s">
        <v>377</v>
      </c>
      <c r="D18" s="20"/>
      <c r="E18" s="20"/>
      <c r="F18" s="304">
        <f>'PASH ANALITIK'!D4</f>
        <v>1584485546</v>
      </c>
      <c r="G18" s="304">
        <f>'PASH ANALITIK'!E4</f>
        <v>1552676496</v>
      </c>
      <c r="H18" s="20"/>
    </row>
    <row r="19" spans="2:8" ht="12.75">
      <c r="B19" s="402" t="s">
        <v>420</v>
      </c>
      <c r="C19" s="262" t="s">
        <v>378</v>
      </c>
      <c r="D19" s="20"/>
      <c r="E19" s="20"/>
      <c r="F19" s="304">
        <f>'PASH ANALITIK'!D5</f>
        <v>4086052690</v>
      </c>
      <c r="G19" s="304">
        <f>'PASH ANALITIK'!E5</f>
        <v>3765600259</v>
      </c>
      <c r="H19" s="20"/>
    </row>
    <row r="20" spans="2:8" ht="25.5">
      <c r="B20" s="402" t="s">
        <v>427</v>
      </c>
      <c r="C20" s="262" t="s">
        <v>381</v>
      </c>
      <c r="D20" s="20"/>
      <c r="E20" s="20"/>
      <c r="F20" s="304">
        <f>'PASH ANALITIK'!D30</f>
        <v>4571985594</v>
      </c>
      <c r="G20" s="304">
        <f>'PASH ANALITIK'!E30</f>
        <v>4249822729</v>
      </c>
      <c r="H20" s="20"/>
    </row>
    <row r="21" spans="2:8" s="280" customFormat="1" ht="18.75">
      <c r="B21" s="391" t="s">
        <v>418</v>
      </c>
      <c r="C21" s="393" t="s">
        <v>357</v>
      </c>
      <c r="D21" s="397">
        <f>IF($D$13&gt;0,D18-D20," ")</f>
        <v>0</v>
      </c>
      <c r="E21" s="397">
        <f>IF($D$13&gt;1,SUM(E18:E19)-E20," ")</f>
        <v>0</v>
      </c>
      <c r="F21" s="373">
        <f>IF($D$13&gt;1,SUM(F18:F19)-F20," ")</f>
        <v>1098552642</v>
      </c>
      <c r="G21" s="373">
        <f>IF($D$13&gt;1,SUM(G18:G19)-G20," ")</f>
        <v>1068454026</v>
      </c>
      <c r="H21" s="397">
        <f>IF($D$13&gt;1,SUM(H18:H19)-H20," ")</f>
        <v>0</v>
      </c>
    </row>
    <row r="22" spans="2:8" ht="12.75">
      <c r="B22" s="386"/>
      <c r="C22" s="22"/>
      <c r="D22" s="18"/>
      <c r="E22" s="18"/>
      <c r="F22" s="315"/>
      <c r="G22" s="315"/>
      <c r="H22" s="18"/>
    </row>
    <row r="23" spans="2:8" s="280" customFormat="1" ht="37.5">
      <c r="B23" s="387" t="s">
        <v>421</v>
      </c>
      <c r="C23" s="392" t="s">
        <v>382</v>
      </c>
      <c r="D23" s="394"/>
      <c r="E23" s="394">
        <v>0</v>
      </c>
      <c r="F23" s="395">
        <f>'PASH ANALITIK'!D17</f>
        <v>11135077</v>
      </c>
      <c r="G23" s="395">
        <f>'PASH ANALITIK'!E17</f>
        <v>-28127480</v>
      </c>
      <c r="H23" s="394"/>
    </row>
    <row r="24" spans="2:8" ht="14.25" customHeight="1">
      <c r="B24" s="402" t="s">
        <v>423</v>
      </c>
      <c r="C24" s="262" t="s">
        <v>384</v>
      </c>
      <c r="D24" s="20"/>
      <c r="E24" s="20"/>
      <c r="F24" s="304">
        <f>'PASH ANALITIK'!D23</f>
        <v>0</v>
      </c>
      <c r="G24" s="304">
        <f>'PASH ANALITIK'!E23</f>
        <v>57620380</v>
      </c>
      <c r="H24" s="20"/>
    </row>
    <row r="25" spans="2:8" ht="12.75">
      <c r="B25" s="402" t="s">
        <v>424</v>
      </c>
      <c r="C25" s="262" t="s">
        <v>379</v>
      </c>
      <c r="D25" s="20"/>
      <c r="E25" s="20"/>
      <c r="F25" s="304">
        <f>'PASH ANALITIK'!D6</f>
        <v>84423396</v>
      </c>
      <c r="G25" s="304">
        <f>'PASH ANALITIK'!E6</f>
        <v>45354323</v>
      </c>
      <c r="H25" s="20"/>
    </row>
    <row r="26" spans="2:8" ht="12.75">
      <c r="B26" s="402" t="s">
        <v>428</v>
      </c>
      <c r="C26" s="262" t="s">
        <v>380</v>
      </c>
      <c r="D26" s="20"/>
      <c r="E26" s="20"/>
      <c r="F26" s="304">
        <f>'PASH ANALITIK'!D28</f>
        <v>0</v>
      </c>
      <c r="G26" s="304">
        <f>'PASH ANALITIK'!E28</f>
        <v>3142016</v>
      </c>
      <c r="H26" s="20"/>
    </row>
    <row r="27" spans="2:8" ht="12.75">
      <c r="B27" s="402" t="s">
        <v>429</v>
      </c>
      <c r="C27" s="262" t="s">
        <v>246</v>
      </c>
      <c r="D27" s="20"/>
      <c r="E27" s="20"/>
      <c r="F27" s="304">
        <f>'PASH ANALITIK'!D24</f>
        <v>6091995</v>
      </c>
      <c r="G27" s="304">
        <f>'PASH ANALITIK'!E24</f>
        <v>8840000</v>
      </c>
      <c r="H27" s="20"/>
    </row>
    <row r="28" spans="2:8" s="280" customFormat="1" ht="21.75" customHeight="1">
      <c r="B28" s="396" t="s">
        <v>422</v>
      </c>
      <c r="C28" s="392" t="s">
        <v>383</v>
      </c>
      <c r="D28" s="394">
        <f>IF($D$13&gt;1,SUM(D24:D27)," ")</f>
        <v>0</v>
      </c>
      <c r="E28" s="394">
        <f>IF($D$13&gt;1,SUM(E24:E27)," ")</f>
        <v>0</v>
      </c>
      <c r="F28" s="395">
        <f>IF($D$13&gt;1,SUM(F24:F27)," ")</f>
        <v>90515391</v>
      </c>
      <c r="G28" s="395">
        <f>IF($D$13&gt;1,SUM(G24:G27)," ")</f>
        <v>114956719</v>
      </c>
      <c r="H28" s="394">
        <f>IF($D$13&gt;1,SUM(H24:H27)," ")</f>
        <v>0</v>
      </c>
    </row>
    <row r="29" spans="2:8" ht="12.75">
      <c r="B29" s="402" t="s">
        <v>430</v>
      </c>
      <c r="C29" s="262" t="s">
        <v>385</v>
      </c>
      <c r="D29" s="20"/>
      <c r="E29" s="20"/>
      <c r="F29" s="304">
        <f>'PASH ANALITIK'!D59</f>
        <v>451775804.7</v>
      </c>
      <c r="G29" s="304">
        <f>'PASH ANALITIK'!E59</f>
        <v>411006909.43</v>
      </c>
      <c r="H29" s="20"/>
    </row>
    <row r="30" spans="2:8" ht="13.5" customHeight="1">
      <c r="B30" s="402" t="s">
        <v>251</v>
      </c>
      <c r="C30" s="262" t="s">
        <v>386</v>
      </c>
      <c r="D30" s="20"/>
      <c r="E30" s="20"/>
      <c r="F30" s="304">
        <f>'PASH ANALITIK'!D42</f>
        <v>156899073</v>
      </c>
      <c r="G30" s="304">
        <f>'PASH ANALITIK'!E42</f>
        <v>149252634</v>
      </c>
      <c r="H30" s="20"/>
    </row>
    <row r="31" spans="2:8" ht="12.75">
      <c r="B31" s="402" t="s">
        <v>252</v>
      </c>
      <c r="C31" s="262"/>
      <c r="D31" s="20"/>
      <c r="E31" s="267"/>
      <c r="F31" s="304"/>
      <c r="G31" s="316"/>
      <c r="H31" s="20"/>
    </row>
    <row r="32" spans="2:8" ht="12.75">
      <c r="B32" s="402" t="s">
        <v>253</v>
      </c>
      <c r="C32" s="262" t="s">
        <v>358</v>
      </c>
      <c r="D32" s="20"/>
      <c r="E32" s="20"/>
      <c r="F32" s="304">
        <f>'PASH ANALITIK'!D47</f>
        <v>154223042</v>
      </c>
      <c r="G32" s="304">
        <f>'PASH ANALITIK'!E47</f>
        <v>144809854</v>
      </c>
      <c r="H32" s="20"/>
    </row>
    <row r="33" spans="2:8" s="280" customFormat="1" ht="18.75">
      <c r="B33" s="387" t="s">
        <v>425</v>
      </c>
      <c r="C33" s="370" t="s">
        <v>363</v>
      </c>
      <c r="D33" s="384">
        <f>IF($D$13&gt;0,SUM(D23:D32)," ")</f>
        <v>0</v>
      </c>
      <c r="E33" s="384">
        <f>IF($D$13&gt;1,SUM(E29:E32)," ")</f>
        <v>0</v>
      </c>
      <c r="F33" s="377">
        <f>IF($D$13&gt;1,SUM(F29:F32)," ")</f>
        <v>762897919.7</v>
      </c>
      <c r="G33" s="377">
        <f>IF($D$13&gt;1,SUM(G29:G32)," ")</f>
        <v>705069397.4300001</v>
      </c>
      <c r="H33" s="384">
        <f>IF($D$13&gt;1,SUM(H29:H32)," ")</f>
        <v>0</v>
      </c>
    </row>
    <row r="34" spans="2:8" s="280" customFormat="1" ht="36" customHeight="1">
      <c r="B34" s="391" t="s">
        <v>426</v>
      </c>
      <c r="C34" s="370" t="s">
        <v>387</v>
      </c>
      <c r="D34" s="384">
        <f>IF($D$13&gt;1,D21+D23+D28-D33," ")</f>
        <v>0</v>
      </c>
      <c r="E34" s="384">
        <f>IF($D$13&gt;1,E21+E23+E28-E33," ")</f>
        <v>0</v>
      </c>
      <c r="F34" s="377">
        <f>IF($D$13&gt;1,F21+F23+F28-F33," ")</f>
        <v>437305190.29999995</v>
      </c>
      <c r="G34" s="377">
        <f>IF($D$13&gt;1,G21+G23+G28-G33," ")</f>
        <v>450213867.56999993</v>
      </c>
      <c r="H34" s="384">
        <f>IF($D$13&gt;1,H21+H23+H28-H33," ")</f>
        <v>0</v>
      </c>
    </row>
    <row r="35" spans="2:8" ht="13.5" customHeight="1">
      <c r="B35" s="402" t="s">
        <v>432</v>
      </c>
      <c r="C35" s="268" t="s">
        <v>409</v>
      </c>
      <c r="D35" s="21"/>
      <c r="E35" s="21"/>
      <c r="F35" s="317"/>
      <c r="G35" s="317"/>
      <c r="H35" s="21"/>
    </row>
    <row r="36" spans="2:8" ht="13.5" customHeight="1">
      <c r="B36" s="402" t="s">
        <v>433</v>
      </c>
      <c r="C36" s="268" t="s">
        <v>410</v>
      </c>
      <c r="D36" s="271"/>
      <c r="E36" s="271"/>
      <c r="F36" s="318"/>
      <c r="G36" s="318"/>
      <c r="H36" s="271"/>
    </row>
    <row r="37" spans="2:8" ht="13.5" customHeight="1">
      <c r="B37" s="402" t="s">
        <v>434</v>
      </c>
      <c r="C37" s="268" t="s">
        <v>411</v>
      </c>
      <c r="D37" s="21"/>
      <c r="E37" s="21"/>
      <c r="F37" s="317"/>
      <c r="G37" s="317"/>
      <c r="H37" s="21"/>
    </row>
    <row r="38" spans="2:8" ht="13.5" customHeight="1">
      <c r="B38" s="402" t="s">
        <v>435</v>
      </c>
      <c r="C38" s="268" t="s">
        <v>412</v>
      </c>
      <c r="D38" s="270"/>
      <c r="E38" s="270"/>
      <c r="F38" s="273"/>
      <c r="G38" s="273"/>
      <c r="H38" s="270"/>
    </row>
    <row r="39" spans="2:8" ht="13.5" customHeight="1">
      <c r="B39" s="402" t="s">
        <v>436</v>
      </c>
      <c r="C39" s="268" t="s">
        <v>413</v>
      </c>
      <c r="D39" s="21"/>
      <c r="E39" s="269"/>
      <c r="F39" s="317"/>
      <c r="G39" s="317"/>
      <c r="H39" s="21"/>
    </row>
    <row r="40" spans="2:8" ht="13.5" customHeight="1">
      <c r="B40" s="402" t="s">
        <v>437</v>
      </c>
      <c r="C40" s="268" t="s">
        <v>414</v>
      </c>
      <c r="D40" s="270"/>
      <c r="E40" s="270"/>
      <c r="F40" s="273"/>
      <c r="G40" s="273"/>
      <c r="H40" s="270"/>
    </row>
    <row r="41" spans="2:8" ht="13.5" customHeight="1">
      <c r="B41" s="402" t="s">
        <v>438</v>
      </c>
      <c r="C41" s="268" t="s">
        <v>415</v>
      </c>
      <c r="D41" s="21"/>
      <c r="E41" s="21"/>
      <c r="F41" s="304">
        <f>'PASH ANALITIK'!D92</f>
        <v>110409</v>
      </c>
      <c r="G41" s="304">
        <f>'PASH ANALITIK'!E92</f>
        <v>0</v>
      </c>
      <c r="H41" s="21"/>
    </row>
    <row r="42" spans="2:8" ht="13.5" customHeight="1">
      <c r="B42" s="402" t="s">
        <v>439</v>
      </c>
      <c r="C42" s="268" t="s">
        <v>88</v>
      </c>
      <c r="D42" s="270"/>
      <c r="E42" s="270"/>
      <c r="F42" s="319">
        <f>'PASH ANALITIK'!D93+'PASH ANALITIK'!D104</f>
        <v>-48058588</v>
      </c>
      <c r="G42" s="319">
        <f>'PASH ANALITIK'!E93+'PASH ANALITIK'!E104</f>
        <v>-39706884</v>
      </c>
      <c r="H42" s="270"/>
    </row>
    <row r="43" spans="2:8" ht="12.75" customHeight="1">
      <c r="B43" s="402" t="s">
        <v>440</v>
      </c>
      <c r="C43" s="268" t="s">
        <v>416</v>
      </c>
      <c r="D43" s="21"/>
      <c r="E43" s="21"/>
      <c r="F43" s="304"/>
      <c r="G43" s="304">
        <v>0</v>
      </c>
      <c r="H43" s="21"/>
    </row>
    <row r="44" spans="2:8" ht="12" customHeight="1">
      <c r="B44" s="402" t="s">
        <v>441</v>
      </c>
      <c r="C44" s="268" t="s">
        <v>87</v>
      </c>
      <c r="D44" s="272"/>
      <c r="E44" s="272"/>
      <c r="F44" s="319">
        <f>('PASH ANALITIK'!D107+'PASH ANALITIK'!D110+'PASH ANALITIK'!D106)</f>
        <v>-10201983.7</v>
      </c>
      <c r="G44" s="319">
        <f>'PASH ANALITIK'!E107+'PASH ANALITIK'!E106+'PASH ANALITIK'!E110</f>
        <v>-49967056</v>
      </c>
      <c r="H44" s="272"/>
    </row>
    <row r="45" spans="2:8" s="280" customFormat="1" ht="15" customHeight="1">
      <c r="B45" s="398" t="s">
        <v>431</v>
      </c>
      <c r="C45" s="370" t="s">
        <v>417</v>
      </c>
      <c r="D45" s="384">
        <f>IF($D$13&gt;1,SUM(D35:D44)," ")</f>
        <v>0</v>
      </c>
      <c r="E45" s="384">
        <f>IF($D$13&gt;1,SUM(E35:E44)," ")</f>
        <v>0</v>
      </c>
      <c r="F45" s="377">
        <f>IF($D$13&gt;1,SUM(F35:F44)," ")</f>
        <v>-58150162.7</v>
      </c>
      <c r="G45" s="377">
        <f>IF($D$13&gt;1,SUM(G35:G44)," ")</f>
        <v>-89673940</v>
      </c>
      <c r="H45" s="384">
        <f>IF($D$13&gt;1,SUM(H35:H44)," ")</f>
        <v>0</v>
      </c>
    </row>
    <row r="46" spans="2:8" ht="12.75">
      <c r="B46" s="399"/>
      <c r="C46" s="19"/>
      <c r="D46" s="20"/>
      <c r="E46" s="20"/>
      <c r="F46" s="316"/>
      <c r="G46" s="316"/>
      <c r="H46" s="20"/>
    </row>
    <row r="47" spans="2:8" s="280" customFormat="1" ht="18.75">
      <c r="B47" s="400" t="s">
        <v>248</v>
      </c>
      <c r="C47" s="370" t="s">
        <v>388</v>
      </c>
      <c r="D47" s="384">
        <f>IF($D$13&gt;1,D34+D45," ")</f>
        <v>0</v>
      </c>
      <c r="E47" s="384">
        <f>IF($D$13&gt;1,E34+E45," ")</f>
        <v>0</v>
      </c>
      <c r="F47" s="377">
        <f>IF($D$13&gt;1,F34+F45," ")</f>
        <v>379155027.59999996</v>
      </c>
      <c r="G47" s="377">
        <f>IF($D$13&gt;1,G34+G45," ")</f>
        <v>360539927.56999993</v>
      </c>
      <c r="H47" s="384">
        <f>IF($D$13&gt;1,H34+H45," ")</f>
        <v>0</v>
      </c>
    </row>
    <row r="48" spans="2:8" ht="12.75">
      <c r="B48" s="401"/>
      <c r="C48" s="262" t="s">
        <v>359</v>
      </c>
      <c r="D48" s="20"/>
      <c r="E48" s="20"/>
      <c r="F48" s="304">
        <f>Rezultati!D22</f>
        <v>41181565.96000002</v>
      </c>
      <c r="G48" s="304">
        <v>36649063</v>
      </c>
      <c r="H48" s="20"/>
    </row>
    <row r="49" spans="2:8" s="280" customFormat="1" ht="15" customHeight="1">
      <c r="B49" s="400" t="s">
        <v>249</v>
      </c>
      <c r="C49" s="370" t="s">
        <v>360</v>
      </c>
      <c r="D49" s="384">
        <f>IF($D$13&gt;1,D47-D48," ")</f>
        <v>0</v>
      </c>
      <c r="E49" s="384">
        <f>IF($D$13&gt;1,E47-E48," ")</f>
        <v>0</v>
      </c>
      <c r="F49" s="377">
        <f>IF($D$13&gt;1,F47-F48," ")</f>
        <v>337973461.6399999</v>
      </c>
      <c r="G49" s="377">
        <f>IF($D$13&gt;1,G47-G48," ")</f>
        <v>323890864.56999993</v>
      </c>
      <c r="H49" s="384">
        <f>IF($D$13&gt;1,H47-H48," ")</f>
        <v>0</v>
      </c>
    </row>
    <row r="50" spans="2:8" ht="12.75">
      <c r="B50" s="401"/>
      <c r="C50" s="262" t="s">
        <v>361</v>
      </c>
      <c r="D50" s="20"/>
      <c r="E50" s="20"/>
      <c r="F50" s="316"/>
      <c r="G50" s="316"/>
      <c r="H50" s="20"/>
    </row>
    <row r="51" spans="2:8" s="280" customFormat="1" ht="17.25" customHeight="1">
      <c r="B51" s="400" t="s">
        <v>250</v>
      </c>
      <c r="C51" s="370" t="s">
        <v>362</v>
      </c>
      <c r="D51" s="384">
        <f>IF($D$13&gt;0,D49-D50," ")</f>
        <v>0</v>
      </c>
      <c r="E51" s="384">
        <f>IF($D$13&gt;1,E49-E50," ")</f>
        <v>0</v>
      </c>
      <c r="F51" s="377">
        <f>IF($D$13&gt;2,F49-F50," ")</f>
        <v>337973461.6399999</v>
      </c>
      <c r="G51" s="377">
        <f>IF($D$13&gt;3,G49-G50," ")</f>
        <v>323890864.56999993</v>
      </c>
      <c r="H51" s="384">
        <f>IF($D$13&gt;4,H49-H50," ")</f>
        <v>0</v>
      </c>
    </row>
    <row r="52" spans="2:8" s="280" customFormat="1" ht="15.75">
      <c r="B52" s="306"/>
      <c r="C52" s="292"/>
      <c r="D52" s="293"/>
      <c r="E52" s="293"/>
      <c r="F52" s="320"/>
      <c r="G52" s="320"/>
      <c r="H52" s="293"/>
    </row>
    <row r="53" spans="2:8" s="280" customFormat="1" ht="15.75">
      <c r="B53" s="306"/>
      <c r="C53" s="292"/>
      <c r="D53" s="293"/>
      <c r="E53" s="293"/>
      <c r="F53" s="320"/>
      <c r="G53" s="320"/>
      <c r="H53" s="293"/>
    </row>
    <row r="54" spans="2:8" s="280" customFormat="1" ht="15.75">
      <c r="B54" s="306"/>
      <c r="C54" s="305"/>
      <c r="D54" s="293"/>
      <c r="E54" s="293"/>
      <c r="F54" s="320"/>
      <c r="G54" s="320"/>
      <c r="H54" s="293"/>
    </row>
    <row r="55" spans="2:8" s="280" customFormat="1" ht="15.75">
      <c r="B55" s="306"/>
      <c r="C55" s="305"/>
      <c r="D55" s="293"/>
      <c r="E55" s="293"/>
      <c r="F55" s="320"/>
      <c r="G55" s="320"/>
      <c r="H55" s="293"/>
    </row>
    <row r="56" spans="3:8" ht="12.75">
      <c r="C56" s="305"/>
      <c r="D56" s="12"/>
      <c r="E56" s="12"/>
      <c r="F56" s="311"/>
      <c r="G56" s="311"/>
      <c r="H56" s="12"/>
    </row>
    <row r="57" spans="3:8" ht="12.75">
      <c r="C57" s="10"/>
      <c r="D57" s="12"/>
      <c r="E57" s="12"/>
      <c r="F57" s="311"/>
      <c r="G57" s="311"/>
      <c r="H57" s="12"/>
    </row>
    <row r="58" spans="2:8" s="290" customFormat="1" ht="18.75">
      <c r="B58" s="289"/>
      <c r="C58" s="307" t="s">
        <v>364</v>
      </c>
      <c r="D58" s="331">
        <f>IF($D$13&gt;4,$E$58+1," ")</f>
        <v>2012</v>
      </c>
      <c r="E58" s="331">
        <f>IF($D$13&gt;3,$F$58+1," ")</f>
        <v>2011</v>
      </c>
      <c r="F58" s="291">
        <f>IF($D$13&gt;2,$G$58+1," ")</f>
        <v>2010</v>
      </c>
      <c r="G58" s="291">
        <f>IF($D$13&gt;1,$H$58+1," ")</f>
        <v>2009</v>
      </c>
      <c r="H58" s="332">
        <f>D10</f>
        <v>2008</v>
      </c>
    </row>
    <row r="59" spans="2:8" s="280" customFormat="1" ht="15.75">
      <c r="B59" s="374">
        <v>1</v>
      </c>
      <c r="C59" s="375" t="s">
        <v>408</v>
      </c>
      <c r="D59" s="286">
        <f>IF($D$13&gt;1,SUM(D60:D61)," ")</f>
        <v>0</v>
      </c>
      <c r="E59" s="286">
        <f>IF($D$13&gt;1,SUM(E60:E61)," ")</f>
        <v>0</v>
      </c>
      <c r="F59" s="321">
        <f>IF($D$13&gt;1,SUM(F60:F61)," ")</f>
        <v>169831530.57999998</v>
      </c>
      <c r="G59" s="321">
        <f>IF($D$13&gt;1,SUM(G60:G61)," ")</f>
        <v>130267008</v>
      </c>
      <c r="H59" s="286">
        <f>IF($D$13&gt;1,SUM(H60:H61)," ")</f>
        <v>0</v>
      </c>
    </row>
    <row r="60" spans="2:8" ht="12.75">
      <c r="B60" s="285" t="s">
        <v>389</v>
      </c>
      <c r="C60" s="284" t="s">
        <v>443</v>
      </c>
      <c r="D60" s="277"/>
      <c r="E60" s="277"/>
      <c r="F60" s="304">
        <f>'AKTIVI ANALITIK'!D12</f>
        <v>160425785.57999998</v>
      </c>
      <c r="G60" s="304">
        <f>'AKTIVI ANALITIK'!E12</f>
        <v>103485110</v>
      </c>
      <c r="H60" s="277"/>
    </row>
    <row r="61" spans="2:8" ht="12.75">
      <c r="B61" s="285" t="s">
        <v>442</v>
      </c>
      <c r="C61" s="284" t="s">
        <v>390</v>
      </c>
      <c r="D61" s="277"/>
      <c r="E61" s="277"/>
      <c r="F61" s="304">
        <f>'AKTIVI ANALITIK'!D15+'AKTIVI ANALITIK'!D18</f>
        <v>9405745</v>
      </c>
      <c r="G61" s="304">
        <f>'AKTIVI ANALITIK'!E15+'AKTIVI ANALITIK'!E18</f>
        <v>26781898</v>
      </c>
      <c r="H61" s="277"/>
    </row>
    <row r="62" spans="2:8" s="280" customFormat="1" ht="15.75">
      <c r="B62" s="374">
        <v>2</v>
      </c>
      <c r="C62" s="375" t="s">
        <v>407</v>
      </c>
      <c r="D62" s="286">
        <f>IF($D$13&gt;1,SUM(D63:D64)," ")</f>
        <v>0</v>
      </c>
      <c r="E62" s="286">
        <f>IF($D$13&gt;1,SUM(E63:E64)," ")</f>
        <v>0</v>
      </c>
      <c r="F62" s="321">
        <f>IF($D$13&gt;1,SUM(F63:F64)," ")</f>
        <v>0</v>
      </c>
      <c r="G62" s="321">
        <f>IF($D$13&gt;1,SUM(G63:G64)," ")</f>
        <v>0</v>
      </c>
      <c r="H62" s="286">
        <f>IF($D$13&gt;1,SUM(H63:H64)," ")</f>
        <v>0</v>
      </c>
    </row>
    <row r="63" spans="2:8" ht="12.75">
      <c r="B63" s="283" t="s">
        <v>389</v>
      </c>
      <c r="C63" s="284" t="s">
        <v>444</v>
      </c>
      <c r="D63" s="20"/>
      <c r="E63" s="20"/>
      <c r="F63" s="316"/>
      <c r="G63" s="316"/>
      <c r="H63" s="20"/>
    </row>
    <row r="64" spans="2:8" ht="12.75">
      <c r="B64" s="283" t="s">
        <v>442</v>
      </c>
      <c r="C64" s="284" t="s">
        <v>391</v>
      </c>
      <c r="D64" s="20"/>
      <c r="E64" s="20"/>
      <c r="F64" s="316"/>
      <c r="G64" s="316"/>
      <c r="H64" s="20"/>
    </row>
    <row r="65" spans="2:8" s="280" customFormat="1" ht="15.75">
      <c r="B65" s="374">
        <v>3</v>
      </c>
      <c r="C65" s="375" t="s">
        <v>406</v>
      </c>
      <c r="D65" s="286">
        <f>IF($D$13&gt;1,SUM(D66:D70)," ")</f>
        <v>0</v>
      </c>
      <c r="E65" s="286">
        <f>IF($D$13&gt;1,SUM(E66:E70)," ")</f>
        <v>0</v>
      </c>
      <c r="F65" s="321">
        <f>IF($D$13&gt;1,SUM(F66:F70)," ")</f>
        <v>406427116.5</v>
      </c>
      <c r="G65" s="321">
        <f>IF($D$13&gt;1,SUM(G66:G70)," ")</f>
        <v>599053286</v>
      </c>
      <c r="H65" s="286">
        <f>IF($D$13&gt;1,SUM(H66:H70)," ")</f>
        <v>0</v>
      </c>
    </row>
    <row r="66" spans="2:8" ht="12.75">
      <c r="B66" s="283" t="s">
        <v>389</v>
      </c>
      <c r="C66" s="284" t="s">
        <v>392</v>
      </c>
      <c r="D66" s="277"/>
      <c r="E66" s="277"/>
      <c r="F66" s="335">
        <f>'AKTIVI ANALITIK'!D42+'AKTIVI ANALITIK'!D43</f>
        <v>389253898</v>
      </c>
      <c r="G66" s="335">
        <f>'AKTIVI ANALITIK'!E42+'AKTIVI ANALITIK'!E43</f>
        <v>597645645</v>
      </c>
      <c r="H66" s="277"/>
    </row>
    <row r="67" spans="2:8" ht="12.75">
      <c r="B67" s="283" t="s">
        <v>442</v>
      </c>
      <c r="C67" s="284" t="s">
        <v>393</v>
      </c>
      <c r="D67" s="277"/>
      <c r="E67" s="277"/>
      <c r="F67" s="335">
        <f>'AKTIVI ANALITIK'!D51</f>
        <v>222507.5</v>
      </c>
      <c r="G67" s="335">
        <f>'AKTIVI ANALITIK'!E47</f>
        <v>0</v>
      </c>
      <c r="H67" s="277"/>
    </row>
    <row r="68" spans="2:8" ht="12.75">
      <c r="B68" s="283" t="s">
        <v>445</v>
      </c>
      <c r="C68" s="284" t="s">
        <v>446</v>
      </c>
      <c r="D68" s="277"/>
      <c r="E68" s="277"/>
      <c r="F68" s="335">
        <f>'AKTIVI ANALITIK'!D49+'AKTIVI ANALITIK'!D54</f>
        <v>0</v>
      </c>
      <c r="G68" s="335">
        <f>'AKTIVI ANALITIK'!E49+'AKTIVI ANALITIK'!E54</f>
        <v>1407641</v>
      </c>
      <c r="H68" s="277"/>
    </row>
    <row r="69" spans="2:8" ht="12.75">
      <c r="B69" s="283" t="s">
        <v>447</v>
      </c>
      <c r="C69" s="284" t="s">
        <v>394</v>
      </c>
      <c r="D69" s="277"/>
      <c r="E69" s="277"/>
      <c r="F69" s="304">
        <f>'AKTIVI ANALITIK'!D53</f>
        <v>16950711</v>
      </c>
      <c r="G69" s="304">
        <f>'AKTIVI ANALITIK'!E53</f>
        <v>0</v>
      </c>
      <c r="H69" s="277"/>
    </row>
    <row r="70" spans="2:8" ht="12.75">
      <c r="B70" s="283" t="s">
        <v>448</v>
      </c>
      <c r="C70" s="284" t="s">
        <v>395</v>
      </c>
      <c r="D70" s="277"/>
      <c r="E70" s="277"/>
      <c r="F70" s="304">
        <f>'AKTIVI ANALITIK'!D57</f>
        <v>0</v>
      </c>
      <c r="G70" s="304">
        <f>'AKTIVI ANALITIK'!E57</f>
        <v>0</v>
      </c>
      <c r="H70" s="277"/>
    </row>
    <row r="71" spans="2:8" s="280" customFormat="1" ht="15.75">
      <c r="B71" s="374">
        <v>4</v>
      </c>
      <c r="C71" s="375" t="s">
        <v>365</v>
      </c>
      <c r="D71" s="286">
        <f>IF($D$13&gt;1,SUM(D72:D76)," ")</f>
        <v>0</v>
      </c>
      <c r="E71" s="286">
        <f>IF($D$13&gt;1,SUM(E72:E76)," ")</f>
        <v>0</v>
      </c>
      <c r="F71" s="321">
        <f>IF($D$13&gt;1,SUM(F72:F76)," ")</f>
        <v>1378510115</v>
      </c>
      <c r="G71" s="321">
        <f>IF($D$13&gt;1,SUM(G72:G76)," ")</f>
        <v>754247972</v>
      </c>
      <c r="H71" s="286">
        <f>IF($D$13&gt;1,SUM(H72:H76)," ")</f>
        <v>0</v>
      </c>
    </row>
    <row r="72" spans="2:8" ht="12.75">
      <c r="B72" s="283" t="s">
        <v>389</v>
      </c>
      <c r="C72" s="284" t="s">
        <v>396</v>
      </c>
      <c r="D72" s="278"/>
      <c r="E72" s="278"/>
      <c r="F72" s="336">
        <f>'AKTIVI ANALITIK'!D67+'AKTIVI ANALITIK'!D69</f>
        <v>370717029</v>
      </c>
      <c r="G72" s="336">
        <f>'AKTIVI ANALITIK'!E67+'AKTIVI ANALITIK'!E69</f>
        <v>198445563</v>
      </c>
      <c r="H72" s="278"/>
    </row>
    <row r="73" spans="2:8" ht="12.75">
      <c r="B73" s="283" t="s">
        <v>442</v>
      </c>
      <c r="C73" s="284" t="s">
        <v>397</v>
      </c>
      <c r="D73" s="278"/>
      <c r="E73" s="278"/>
      <c r="F73" s="336"/>
      <c r="G73" s="336"/>
      <c r="H73" s="278"/>
    </row>
    <row r="74" spans="2:8" ht="12.75">
      <c r="B74" s="283" t="s">
        <v>445</v>
      </c>
      <c r="C74" s="284" t="s">
        <v>398</v>
      </c>
      <c r="D74" s="278"/>
      <c r="E74" s="278"/>
      <c r="F74" s="336">
        <f>'AKTIVI ANALITIK'!D80</f>
        <v>42372931</v>
      </c>
      <c r="G74" s="336">
        <f>'AKTIVI ANALITIK'!E80</f>
        <v>31237854</v>
      </c>
      <c r="H74" s="278"/>
    </row>
    <row r="75" spans="2:8" ht="12.75">
      <c r="B75" s="283" t="s">
        <v>447</v>
      </c>
      <c r="C75" s="284" t="s">
        <v>399</v>
      </c>
      <c r="D75" s="278"/>
      <c r="E75" s="278"/>
      <c r="F75" s="336">
        <f>'AKTIVI ANALITIK'!D85</f>
        <v>965420155</v>
      </c>
      <c r="G75" s="336">
        <f>'AKTIVI ANALITIK'!E85</f>
        <v>524564555</v>
      </c>
      <c r="H75" s="278"/>
    </row>
    <row r="76" spans="2:8" ht="12.75">
      <c r="B76" s="283" t="s">
        <v>448</v>
      </c>
      <c r="C76" s="284" t="s">
        <v>400</v>
      </c>
      <c r="D76" s="278"/>
      <c r="E76" s="278"/>
      <c r="F76" s="322">
        <f>'AKTIVI ANALITIK'!D87+'AKTIVI ANALITIK'!D88+'AKTIVI ANALITIK'!D89+'AKTIVI ANALITIK'!D90+'AKTIVI ANALITIK'!D91</f>
        <v>0</v>
      </c>
      <c r="G76" s="322">
        <f>'AKTIVI ANALITIK'!E87+'AKTIVI ANALITIK'!E88+'AKTIVI ANALITIK'!E89+'AKTIVI ANALITIK'!E90+'AKTIVI ANALITIK'!E91</f>
        <v>0</v>
      </c>
      <c r="H76" s="278"/>
    </row>
    <row r="77" spans="2:8" ht="12.75">
      <c r="B77" s="263"/>
      <c r="C77" s="19"/>
      <c r="D77" s="278"/>
      <c r="E77" s="278"/>
      <c r="F77" s="322"/>
      <c r="G77" s="322"/>
      <c r="H77" s="278"/>
    </row>
    <row r="78" spans="2:8" s="280" customFormat="1" ht="15.75">
      <c r="B78" s="380">
        <v>5</v>
      </c>
      <c r="C78" s="375" t="s">
        <v>401</v>
      </c>
      <c r="D78" s="287"/>
      <c r="E78" s="288"/>
      <c r="F78" s="323">
        <f>'AKTIVI ANALITIK'!D93</f>
        <v>0</v>
      </c>
      <c r="G78" s="323">
        <f>'AKTIVI ANALITIK'!E93</f>
        <v>0</v>
      </c>
      <c r="H78" s="288"/>
    </row>
    <row r="79" spans="2:8" s="280" customFormat="1" ht="15.75">
      <c r="B79" s="380">
        <v>6</v>
      </c>
      <c r="C79" s="375" t="s">
        <v>402</v>
      </c>
      <c r="D79" s="287"/>
      <c r="E79" s="288"/>
      <c r="F79" s="323">
        <f>'AKTIVI ANALITIK'!D94</f>
        <v>0</v>
      </c>
      <c r="G79" s="323">
        <f>'AKTIVI ANALITIK'!E94</f>
        <v>0</v>
      </c>
      <c r="H79" s="288"/>
    </row>
    <row r="80" spans="2:8" s="280" customFormat="1" ht="15.75">
      <c r="B80" s="380">
        <v>7</v>
      </c>
      <c r="C80" s="375" t="s">
        <v>403</v>
      </c>
      <c r="D80" s="286">
        <f>IF($D$13&gt;1,SUM(D81:D82)," ")</f>
        <v>0</v>
      </c>
      <c r="E80" s="286">
        <f>IF($D$13&gt;1,SUM(E81:E82)," ")</f>
        <v>0</v>
      </c>
      <c r="F80" s="321">
        <f>IF($D$13&gt;1,SUM(F81:F82)," ")</f>
        <v>38190231</v>
      </c>
      <c r="G80" s="321">
        <f>IF($D$13&gt;1,SUM(G81:G82)," ")</f>
        <v>19343553</v>
      </c>
      <c r="H80" s="286">
        <f>IF($D$13&gt;1,SUM(H81:H82)," ")</f>
        <v>0</v>
      </c>
    </row>
    <row r="81" spans="2:8" ht="12.75">
      <c r="B81" s="285" t="s">
        <v>389</v>
      </c>
      <c r="C81" s="274" t="s">
        <v>404</v>
      </c>
      <c r="D81" s="277"/>
      <c r="E81" s="277"/>
      <c r="F81" s="335">
        <v>0</v>
      </c>
      <c r="G81" s="335">
        <v>0</v>
      </c>
      <c r="H81" s="277"/>
    </row>
    <row r="82" spans="2:8" ht="12.75">
      <c r="B82" s="285" t="s">
        <v>442</v>
      </c>
      <c r="C82" s="274" t="s">
        <v>405</v>
      </c>
      <c r="D82" s="277"/>
      <c r="E82" s="277"/>
      <c r="F82" s="335">
        <f>'AKTIVI ANALITIK'!D100</f>
        <v>38190231</v>
      </c>
      <c r="G82" s="335">
        <f>'AKTIVI ANALITIK'!E100</f>
        <v>19343553</v>
      </c>
      <c r="H82" s="277"/>
    </row>
    <row r="83" spans="2:8" s="280" customFormat="1" ht="18.75">
      <c r="B83" s="387" t="s">
        <v>418</v>
      </c>
      <c r="C83" s="370" t="s">
        <v>366</v>
      </c>
      <c r="D83" s="384">
        <f>IF($D$13&gt;1,SUM(D59+D62+D65+D71+D78+D79+D80)," ")</f>
        <v>0</v>
      </c>
      <c r="E83" s="384">
        <f>IF($D$13&gt;1,SUM(E59+E62+E65+E71+E78+E79+E80)," ")</f>
        <v>0</v>
      </c>
      <c r="F83" s="377">
        <f>IF($D$13&gt;1,SUM(F59+F62+F65+F71+F78+F79+F80)," ")</f>
        <v>1992958993.08</v>
      </c>
      <c r="G83" s="377">
        <f>IF($D$13&gt;1,SUM(G59+G62+G65+G71+G78+G79+G80)," ")</f>
        <v>1502911819</v>
      </c>
      <c r="H83" s="384">
        <f>IF($D$13&gt;1,SUM(H59+H62+H65+H71+H78+H79+H80)," ")</f>
        <v>0</v>
      </c>
    </row>
    <row r="84" spans="2:8" s="280" customFormat="1" ht="15.75">
      <c r="B84" s="282"/>
      <c r="C84" s="23"/>
      <c r="D84" s="286"/>
      <c r="E84" s="286"/>
      <c r="F84" s="321"/>
      <c r="G84" s="321"/>
      <c r="H84" s="286"/>
    </row>
    <row r="85" spans="2:8" s="280" customFormat="1" ht="15.75">
      <c r="B85" s="374">
        <v>1</v>
      </c>
      <c r="C85" s="375" t="s">
        <v>197</v>
      </c>
      <c r="D85" s="281">
        <f>IF($D$13&gt;1,SUM(D86:D89)," ")</f>
        <v>0</v>
      </c>
      <c r="E85" s="281">
        <f>IF($D$13&gt;1,SUM(E86:E89)," ")</f>
        <v>0</v>
      </c>
      <c r="F85" s="324">
        <f>IF($D$13&gt;1,SUM(F86:F89)," ")</f>
        <v>0</v>
      </c>
      <c r="G85" s="324">
        <f>IF($D$13&gt;1,SUM(G86:G89)," ")</f>
        <v>0</v>
      </c>
      <c r="H85" s="281">
        <f>IF($D$13&gt;1,SUM(H86:H89)," ")</f>
        <v>0</v>
      </c>
    </row>
    <row r="86" spans="2:8" ht="12.75">
      <c r="B86" s="283" t="s">
        <v>198</v>
      </c>
      <c r="C86" s="284" t="s">
        <v>199</v>
      </c>
      <c r="D86" s="279"/>
      <c r="E86" s="279"/>
      <c r="F86" s="325">
        <v>0</v>
      </c>
      <c r="G86" s="325">
        <v>0</v>
      </c>
      <c r="H86" s="279"/>
    </row>
    <row r="87" spans="2:8" ht="12.75">
      <c r="B87" s="283" t="s">
        <v>442</v>
      </c>
      <c r="C87" s="284" t="s">
        <v>200</v>
      </c>
      <c r="D87" s="279"/>
      <c r="E87" s="279"/>
      <c r="F87" s="325">
        <v>0</v>
      </c>
      <c r="G87" s="325">
        <v>0</v>
      </c>
      <c r="H87" s="279"/>
    </row>
    <row r="88" spans="2:8" ht="12.75">
      <c r="B88" s="283" t="s">
        <v>445</v>
      </c>
      <c r="C88" s="284" t="s">
        <v>201</v>
      </c>
      <c r="D88" s="279"/>
      <c r="E88" s="279"/>
      <c r="F88" s="325">
        <v>0</v>
      </c>
      <c r="G88" s="325">
        <v>0</v>
      </c>
      <c r="H88" s="279"/>
    </row>
    <row r="89" spans="2:8" ht="12.75">
      <c r="B89" s="283" t="s">
        <v>447</v>
      </c>
      <c r="C89" s="284" t="s">
        <v>202</v>
      </c>
      <c r="D89" s="279"/>
      <c r="E89" s="279"/>
      <c r="F89" s="325">
        <f>'AKTIVI ANALITIK'!D144</f>
        <v>0</v>
      </c>
      <c r="G89" s="325">
        <f>'AKTIVI ANALITIK'!E144</f>
        <v>0</v>
      </c>
      <c r="H89" s="279"/>
    </row>
    <row r="90" spans="2:8" s="280" customFormat="1" ht="15.75">
      <c r="B90" s="374">
        <v>2</v>
      </c>
      <c r="C90" s="375" t="s">
        <v>203</v>
      </c>
      <c r="D90" s="281">
        <f>IF($D$13&gt;1,SUM(D91:D95)," ")</f>
        <v>0</v>
      </c>
      <c r="E90" s="281">
        <f>IF($D$13&gt;1,SUM(E91:E95)," ")</f>
        <v>0</v>
      </c>
      <c r="F90" s="324">
        <f>IF($D$13&gt;1,SUM(F91:F95)," ")</f>
        <v>4176180330</v>
      </c>
      <c r="G90" s="324">
        <f>IF($D$13&gt;1,SUM(G91:G95)," ")</f>
        <v>3991296076</v>
      </c>
      <c r="H90" s="281">
        <f>IF($D$13&gt;1,SUM(H91:H95)," ")</f>
        <v>0</v>
      </c>
    </row>
    <row r="91" spans="2:8" ht="12.75">
      <c r="B91" s="283" t="s">
        <v>389</v>
      </c>
      <c r="C91" s="284" t="s">
        <v>367</v>
      </c>
      <c r="D91" s="277"/>
      <c r="E91" s="277"/>
      <c r="F91" s="304">
        <f>'AKTIVI ANALITIK'!D146</f>
        <v>833841819</v>
      </c>
      <c r="G91" s="304">
        <f>'AKTIVI ANALITIK'!E146</f>
        <v>810524319</v>
      </c>
      <c r="H91" s="277"/>
    </row>
    <row r="92" spans="2:8" ht="12.75">
      <c r="B92" s="283" t="s">
        <v>442</v>
      </c>
      <c r="C92" s="284" t="s">
        <v>376</v>
      </c>
      <c r="D92" s="277"/>
      <c r="E92" s="277"/>
      <c r="F92" s="304">
        <f>'AKTIVI ANALITIK'!D148</f>
        <v>976360649</v>
      </c>
      <c r="G92" s="304">
        <f>'AKTIVI ANALITIK'!E148</f>
        <v>393006082</v>
      </c>
      <c r="H92" s="277"/>
    </row>
    <row r="93" spans="2:8" ht="12.75">
      <c r="B93" s="283" t="s">
        <v>445</v>
      </c>
      <c r="C93" s="284" t="s">
        <v>204</v>
      </c>
      <c r="D93" s="277"/>
      <c r="E93" s="277"/>
      <c r="F93" s="304">
        <f>'AKTIVI ANALITIK'!D151</f>
        <v>1849786412</v>
      </c>
      <c r="G93" s="304">
        <f>'AKTIVI ANALITIK'!E151</f>
        <v>1779536573</v>
      </c>
      <c r="H93" s="277"/>
    </row>
    <row r="94" spans="2:8" ht="12.75">
      <c r="B94" s="283" t="s">
        <v>447</v>
      </c>
      <c r="C94" s="284" t="s">
        <v>205</v>
      </c>
      <c r="D94" s="277"/>
      <c r="E94" s="277"/>
      <c r="F94" s="304">
        <f>'AKTIVI ANALITIK'!D163</f>
        <v>4873000</v>
      </c>
      <c r="G94" s="304">
        <f>'AKTIVI ANALITIK'!E163</f>
        <v>570516063</v>
      </c>
      <c r="H94" s="277"/>
    </row>
    <row r="95" spans="2:8" ht="12.75">
      <c r="B95" s="283" t="s">
        <v>448</v>
      </c>
      <c r="C95" s="284" t="s">
        <v>206</v>
      </c>
      <c r="D95" s="277"/>
      <c r="E95" s="277"/>
      <c r="F95" s="304">
        <f>'AKTIVI ANALITIK'!D153+'AKTIVI ANALITIK'!D157</f>
        <v>511318450</v>
      </c>
      <c r="G95" s="304">
        <f>'AKTIVI ANALITIK'!E153+'AKTIVI ANALITIK'!E157</f>
        <v>437713039</v>
      </c>
      <c r="H95" s="277"/>
    </row>
    <row r="96" spans="2:8" s="280" customFormat="1" ht="18">
      <c r="B96" s="369"/>
      <c r="C96" s="371" t="s">
        <v>271</v>
      </c>
      <c r="D96" s="281">
        <f>IF($D$13&gt;1,SUM(D85+D90)," ")</f>
        <v>0</v>
      </c>
      <c r="E96" s="281">
        <f>IF($D$13&gt;1,SUM(E85+E90)," ")</f>
        <v>0</v>
      </c>
      <c r="F96" s="324">
        <f>IF($D$13&gt;1,SUM(F85+F90)," ")</f>
        <v>4176180330</v>
      </c>
      <c r="G96" s="324">
        <f>IF($D$13&gt;1,SUM(G85+G90)," ")</f>
        <v>3991296076</v>
      </c>
      <c r="H96" s="281">
        <f>IF($D$13&gt;1,SUM(H85+H90)," ")</f>
        <v>0</v>
      </c>
    </row>
    <row r="97" spans="2:8" ht="15.75">
      <c r="B97" s="282">
        <v>3</v>
      </c>
      <c r="C97" s="407" t="s">
        <v>368</v>
      </c>
      <c r="D97" s="277"/>
      <c r="E97" s="277"/>
      <c r="F97" s="319">
        <f>'AKTIVI ANALITIK'!D150+'AKTIVI ANALITIK'!D152+'AKTIVI ANALITIK'!D154+'AKTIVI ANALITIK'!D162</f>
        <v>-1466038468.6079843</v>
      </c>
      <c r="G97" s="319">
        <f>'AKTIVI ANALITIK'!E150+'AKTIVI ANALITIK'!E152+'AKTIVI ANALITIK'!E154+'AKTIVI ANALITIK'!E162</f>
        <v>-1323851939</v>
      </c>
      <c r="H97" s="277"/>
    </row>
    <row r="98" spans="2:8" s="280" customFormat="1" ht="15.75">
      <c r="B98" s="374">
        <v>4</v>
      </c>
      <c r="C98" s="23" t="s">
        <v>369</v>
      </c>
      <c r="D98" s="281">
        <f>IF($D$13&gt;1,SUM(D96+D97)," ")</f>
        <v>0</v>
      </c>
      <c r="E98" s="281">
        <f>IF($D$13&gt;1,SUM(E96+E97)," ")</f>
        <v>0</v>
      </c>
      <c r="F98" s="324">
        <f>IF($D$13&gt;1,SUM(F96+F97)," ")</f>
        <v>2710141861.3920155</v>
      </c>
      <c r="G98" s="324">
        <f>IF($D$13&gt;1,SUM(G96+G97)," ")</f>
        <v>2667444137</v>
      </c>
      <c r="H98" s="281">
        <f>IF($D$13&gt;1,SUM(H96+H97)," ")</f>
        <v>0</v>
      </c>
    </row>
    <row r="99" spans="2:8" s="280" customFormat="1" ht="15.75">
      <c r="B99" s="380">
        <v>5</v>
      </c>
      <c r="C99" s="375" t="s">
        <v>207</v>
      </c>
      <c r="D99" s="287"/>
      <c r="E99" s="281"/>
      <c r="F99" s="324">
        <f>'AKTIVI ANALITIK'!D166</f>
        <v>0</v>
      </c>
      <c r="G99" s="324">
        <f>'AKTIVI ANALITIK'!E166</f>
        <v>0</v>
      </c>
      <c r="H99" s="281"/>
    </row>
    <row r="100" spans="2:8" s="280" customFormat="1" ht="15.75">
      <c r="B100" s="380">
        <v>6</v>
      </c>
      <c r="C100" s="375" t="s">
        <v>208</v>
      </c>
      <c r="D100" s="281">
        <f>IF($D$13&gt;1,SUM(D101:D103)," ")</f>
        <v>0</v>
      </c>
      <c r="E100" s="281">
        <f>IF($D$13&gt;1,SUM(E101:E103)," ")</f>
        <v>0</v>
      </c>
      <c r="F100" s="324">
        <f>IF($D$13&gt;1,SUM(F101:F103)," ")</f>
        <v>0</v>
      </c>
      <c r="G100" s="324">
        <f>IF($D$13&gt;1,SUM(G101:G103)," ")</f>
        <v>0</v>
      </c>
      <c r="H100" s="281">
        <f>IF($D$13&gt;1,SUM(H101:H103)," ")</f>
        <v>0</v>
      </c>
    </row>
    <row r="101" spans="2:8" ht="12.75">
      <c r="B101" s="283" t="s">
        <v>389</v>
      </c>
      <c r="C101" s="284" t="s">
        <v>209</v>
      </c>
      <c r="D101" s="274"/>
      <c r="E101" s="276"/>
      <c r="F101" s="326">
        <f>'AKTIVI ANALITIK'!D172</f>
        <v>0</v>
      </c>
      <c r="G101" s="326">
        <f>'AKTIVI ANALITIK'!E172</f>
        <v>0</v>
      </c>
      <c r="H101" s="276"/>
    </row>
    <row r="102" spans="2:8" ht="12.75">
      <c r="B102" s="283" t="s">
        <v>442</v>
      </c>
      <c r="C102" s="284" t="s">
        <v>210</v>
      </c>
      <c r="D102" s="274"/>
      <c r="E102" s="276"/>
      <c r="F102" s="326">
        <f>'AKTIVI ANALITIK'!D178</f>
        <v>0</v>
      </c>
      <c r="G102" s="326">
        <f>'AKTIVI ANALITIK'!E178+'AKTIVI ANALITIK'!E179</f>
        <v>0</v>
      </c>
      <c r="H102" s="276"/>
    </row>
    <row r="103" spans="2:8" ht="12.75">
      <c r="B103" s="283" t="s">
        <v>445</v>
      </c>
      <c r="C103" s="284" t="s">
        <v>211</v>
      </c>
      <c r="D103" s="274"/>
      <c r="E103" s="276"/>
      <c r="F103" s="326">
        <v>0</v>
      </c>
      <c r="G103" s="326">
        <v>0</v>
      </c>
      <c r="H103" s="276"/>
    </row>
    <row r="104" spans="2:8" ht="15.75">
      <c r="B104" s="380">
        <v>7</v>
      </c>
      <c r="C104" s="381" t="s">
        <v>212</v>
      </c>
      <c r="D104" s="274"/>
      <c r="E104" s="275"/>
      <c r="F104" s="327">
        <v>0</v>
      </c>
      <c r="G104" s="327">
        <v>0</v>
      </c>
      <c r="H104" s="275"/>
    </row>
    <row r="105" spans="2:8" ht="15.75">
      <c r="B105" s="380">
        <v>8</v>
      </c>
      <c r="C105" s="381" t="s">
        <v>669</v>
      </c>
      <c r="D105" s="274"/>
      <c r="E105" s="275"/>
      <c r="F105" s="327">
        <v>0</v>
      </c>
      <c r="G105" s="327">
        <v>0</v>
      </c>
      <c r="H105" s="275"/>
    </row>
    <row r="106" spans="2:8" ht="18.75">
      <c r="B106" s="408" t="s">
        <v>421</v>
      </c>
      <c r="C106" s="370" t="s">
        <v>213</v>
      </c>
      <c r="D106" s="382">
        <f>IF($D$13&gt;1,SUM(D98+D99+D100+D104+D105)," ")</f>
        <v>0</v>
      </c>
      <c r="E106" s="382">
        <f>IF($D$13&gt;1,SUM(E98+E99+E100+E104+E105)," ")</f>
        <v>0</v>
      </c>
      <c r="F106" s="383">
        <f>IF($D$13&gt;1,SUM(F98+F99+F100+F104+F105)," ")</f>
        <v>2710141861.3920155</v>
      </c>
      <c r="G106" s="383">
        <f>IF($D$13&gt;1,SUM(G98+G99+G100+G104+G105)," ")</f>
        <v>2667444137</v>
      </c>
      <c r="H106" s="382">
        <f>IF($D$13&gt;1,SUM(H98+H99+H100+H104+H105)," ")</f>
        <v>0</v>
      </c>
    </row>
    <row r="107" spans="2:8" ht="15" customHeight="1">
      <c r="B107" s="409" t="s">
        <v>422</v>
      </c>
      <c r="C107" s="370" t="s">
        <v>370</v>
      </c>
      <c r="D107" s="384">
        <f>IF($D$13&gt;1,D83+D106," ")</f>
        <v>0</v>
      </c>
      <c r="E107" s="384">
        <f>IF($D$13&gt;1,E83+E106," ")</f>
        <v>0</v>
      </c>
      <c r="F107" s="377">
        <f>IF($D$13&gt;1,F83+F106," ")</f>
        <v>4703100854.472015</v>
      </c>
      <c r="G107" s="377">
        <f>IF($D$13&gt;1,G83+G106," ")</f>
        <v>4170355956</v>
      </c>
      <c r="H107" s="384">
        <f>IF($D$13&gt;1,H83+H106," ")</f>
        <v>0</v>
      </c>
    </row>
    <row r="108" spans="2:8" ht="13.5" customHeight="1">
      <c r="B108" s="294"/>
      <c r="C108" s="295"/>
      <c r="D108" s="296"/>
      <c r="E108" s="296"/>
      <c r="F108" s="328"/>
      <c r="G108" s="328"/>
      <c r="H108" s="296"/>
    </row>
    <row r="109" spans="2:8" ht="15.75">
      <c r="B109" s="294"/>
      <c r="C109" s="295"/>
      <c r="D109" s="296"/>
      <c r="E109" s="296"/>
      <c r="F109" s="328"/>
      <c r="G109" s="328"/>
      <c r="H109" s="296"/>
    </row>
    <row r="110" spans="2:8" ht="14.25" customHeight="1">
      <c r="B110" s="294"/>
      <c r="C110" s="305"/>
      <c r="D110" s="296"/>
      <c r="E110" s="296"/>
      <c r="F110" s="328"/>
      <c r="G110" s="328"/>
      <c r="H110" s="296"/>
    </row>
    <row r="111" spans="2:8" ht="15.75">
      <c r="B111" s="294"/>
      <c r="C111" s="305"/>
      <c r="D111" s="296"/>
      <c r="E111" s="296"/>
      <c r="F111" s="328"/>
      <c r="G111" s="328"/>
      <c r="H111" s="296"/>
    </row>
    <row r="112" spans="2:8" ht="15.75">
      <c r="B112" s="294"/>
      <c r="C112" s="305"/>
      <c r="D112" s="296"/>
      <c r="E112" s="296"/>
      <c r="F112" s="328"/>
      <c r="G112" s="328"/>
      <c r="H112" s="296"/>
    </row>
    <row r="113" spans="2:8" ht="15.75">
      <c r="B113" s="294"/>
      <c r="C113" s="295"/>
      <c r="D113" s="296"/>
      <c r="E113" s="296"/>
      <c r="F113" s="328"/>
      <c r="G113" s="328"/>
      <c r="H113" s="296"/>
    </row>
    <row r="114" spans="3:8" ht="12.75">
      <c r="C114" s="10"/>
      <c r="D114" s="12"/>
      <c r="E114" s="12"/>
      <c r="F114" s="311"/>
      <c r="G114" s="311"/>
      <c r="H114" s="12"/>
    </row>
    <row r="115" spans="2:8" s="280" customFormat="1" ht="15.75">
      <c r="B115" s="467" t="s">
        <v>234</v>
      </c>
      <c r="C115" s="467"/>
      <c r="D115" s="291">
        <f>IF($D$13&gt;3,$E$115+1," ")</f>
        <v>2012</v>
      </c>
      <c r="E115" s="291">
        <f>IF($D$13&gt;3,$F$115+1," ")</f>
        <v>2011</v>
      </c>
      <c r="F115" s="291">
        <f>IF($D$13&gt;3,$G$115+1," ")</f>
        <v>2010</v>
      </c>
      <c r="G115" s="291">
        <f>IF($D$13&gt;3,$H$115+1," ")</f>
        <v>2009</v>
      </c>
      <c r="H115" s="291">
        <f>D10</f>
        <v>2008</v>
      </c>
    </row>
    <row r="116" spans="2:8" s="280" customFormat="1" ht="18.75">
      <c r="B116" s="387" t="s">
        <v>418</v>
      </c>
      <c r="C116" s="372" t="s">
        <v>233</v>
      </c>
      <c r="D116" s="376">
        <f>IF($D$13&gt;1,SUM(D117+D118+D121+D132+D133)," ")</f>
        <v>0</v>
      </c>
      <c r="E116" s="376">
        <f>IF($D$13&gt;1,SUM(E117+E118+E121+E132+E133)," ")</f>
        <v>0</v>
      </c>
      <c r="F116" s="377">
        <f>IF($D$13&gt;1,SUM(F117+F118+F121+F132+F133)," ")</f>
        <v>1511588215</v>
      </c>
      <c r="G116" s="377">
        <f>IF($D$13&gt;1,SUM(G117+G118+G121+G132+G133)," ")</f>
        <v>1832678404</v>
      </c>
      <c r="H116" s="376">
        <f>IF($D$13&gt;1,SUM(H117+H118+H121+H132+H133)," ")</f>
        <v>0</v>
      </c>
    </row>
    <row r="117" spans="2:8" ht="15">
      <c r="B117" s="367">
        <v>1</v>
      </c>
      <c r="C117" s="264" t="s">
        <v>674</v>
      </c>
      <c r="D117" s="297"/>
      <c r="E117" s="297"/>
      <c r="F117" s="304">
        <f>'PASIVI ANALITIK'!D4</f>
        <v>0</v>
      </c>
      <c r="G117" s="304">
        <f>'PASIVI ANALITIK'!E4</f>
        <v>0</v>
      </c>
      <c r="H117" s="297"/>
    </row>
    <row r="118" spans="2:8" s="280" customFormat="1" ht="15.75">
      <c r="B118" s="374">
        <v>2</v>
      </c>
      <c r="C118" s="375" t="s">
        <v>214</v>
      </c>
      <c r="D118" s="291">
        <f>IF($D$13&gt;1,SUM(D119:D120)," ")</f>
        <v>0</v>
      </c>
      <c r="E118" s="291">
        <f>IF($D$13&gt;1,SUM(E119:E120)," ")</f>
        <v>0</v>
      </c>
      <c r="F118" s="303">
        <f>IF($D$13&gt;1,SUM(F119:F120)," ")</f>
        <v>627636524</v>
      </c>
      <c r="G118" s="303">
        <f>IF($D$13&gt;1,SUM(G119:G120)," ")</f>
        <v>589438154</v>
      </c>
      <c r="H118" s="291">
        <f>IF($D$13&gt;1,SUM(H119:H120)," ")</f>
        <v>0</v>
      </c>
    </row>
    <row r="119" spans="2:8" ht="12.75">
      <c r="B119" s="403" t="s">
        <v>389</v>
      </c>
      <c r="C119" s="302" t="s">
        <v>215</v>
      </c>
      <c r="D119" s="297"/>
      <c r="E119" s="297"/>
      <c r="F119" s="304">
        <f>'PASIVI ANALITIK'!D8</f>
        <v>0</v>
      </c>
      <c r="G119" s="304">
        <f>'PASIVI ANALITIK'!E8</f>
        <v>0</v>
      </c>
      <c r="H119" s="297"/>
    </row>
    <row r="120" spans="2:8" ht="12.75">
      <c r="B120" s="403" t="s">
        <v>442</v>
      </c>
      <c r="C120" s="302" t="s">
        <v>216</v>
      </c>
      <c r="D120" s="297"/>
      <c r="E120" s="297"/>
      <c r="F120" s="304">
        <f>'PASIVI ANALITIK'!D9+'PASIVI ANALITIK'!D10</f>
        <v>627636524</v>
      </c>
      <c r="G120" s="304">
        <f>'PASIVI ANALITIK'!E9</f>
        <v>589438154</v>
      </c>
      <c r="H120" s="297"/>
    </row>
    <row r="121" spans="2:8" s="280" customFormat="1" ht="15.75">
      <c r="B121" s="389">
        <v>3</v>
      </c>
      <c r="C121" s="375" t="s">
        <v>217</v>
      </c>
      <c r="D121" s="291">
        <f>IF($D$13&gt;1,SUM(D122:D131)," ")</f>
        <v>0</v>
      </c>
      <c r="E121" s="291">
        <f>IF($D$13&gt;1,SUM(E122:E131)," ")</f>
        <v>0</v>
      </c>
      <c r="F121" s="303">
        <f>IF($D$13&gt;1,SUM(F122:F131)," ")</f>
        <v>883951691</v>
      </c>
      <c r="G121" s="303">
        <f>IF($D$13&gt;1,SUM(G122:G131)," ")</f>
        <v>1243240250</v>
      </c>
      <c r="H121" s="291">
        <f>IF($D$13&gt;1,SUM(H122:H131)," ")</f>
        <v>0</v>
      </c>
    </row>
    <row r="122" spans="2:8" ht="12.75">
      <c r="B122" s="404" t="s">
        <v>389</v>
      </c>
      <c r="C122" s="302" t="s">
        <v>218</v>
      </c>
      <c r="D122" s="297"/>
      <c r="E122" s="297"/>
      <c r="F122" s="304">
        <f>'PASIVI ANALITIK'!D27+'PASIVI ANALITIK'!D29</f>
        <v>555391680</v>
      </c>
      <c r="G122" s="304">
        <f>'PASIVI ANALITIK'!E27+'PASIVI ANALITIK'!E29</f>
        <v>618837155</v>
      </c>
      <c r="H122" s="297"/>
    </row>
    <row r="123" spans="2:8" ht="12.75">
      <c r="B123" s="404" t="s">
        <v>442</v>
      </c>
      <c r="C123" s="444" t="s">
        <v>274</v>
      </c>
      <c r="D123" s="445"/>
      <c r="E123" s="445"/>
      <c r="F123" s="443"/>
      <c r="G123" s="304"/>
      <c r="H123" s="297"/>
    </row>
    <row r="124" spans="2:8" ht="12.75">
      <c r="B124" s="404" t="s">
        <v>445</v>
      </c>
      <c r="C124" s="302" t="s">
        <v>219</v>
      </c>
      <c r="D124" s="297"/>
      <c r="E124" s="297"/>
      <c r="F124" s="304">
        <f>'PASIVI ANALITIK'!D30</f>
        <v>0</v>
      </c>
      <c r="G124" s="304"/>
      <c r="H124" s="297"/>
    </row>
    <row r="125" spans="2:8" ht="12.75">
      <c r="B125" s="404" t="s">
        <v>447</v>
      </c>
      <c r="C125" s="302" t="s">
        <v>220</v>
      </c>
      <c r="D125" s="297"/>
      <c r="E125" s="297"/>
      <c r="F125" s="304">
        <f>'PASIVI ANALITIK'!D34</f>
        <v>2996904</v>
      </c>
      <c r="G125" s="304">
        <f>'PASIVI ANALITIK'!E34</f>
        <v>2828180</v>
      </c>
      <c r="H125" s="297"/>
    </row>
    <row r="126" spans="2:8" ht="12.75">
      <c r="B126" s="404" t="s">
        <v>448</v>
      </c>
      <c r="C126" s="302" t="s">
        <v>221</v>
      </c>
      <c r="D126" s="297"/>
      <c r="E126" s="297"/>
      <c r="F126" s="304">
        <f>'PASIVI ANALITIK'!D39</f>
        <v>798069</v>
      </c>
      <c r="G126" s="304">
        <f>'PASIVI ANALITIK'!E39</f>
        <v>747765</v>
      </c>
      <c r="H126" s="297"/>
    </row>
    <row r="127" spans="2:8" ht="12.75">
      <c r="B127" s="404" t="s">
        <v>222</v>
      </c>
      <c r="C127" s="302" t="s">
        <v>247</v>
      </c>
      <c r="D127" s="297"/>
      <c r="E127" s="297"/>
      <c r="F127" s="304">
        <f>'PASIVI ANALITIK'!D36+'PASIVI ANALITIK'!D41+'PASIVI ANALITIK'!D42+'PASIVI ANALITIK'!D40+'PASIVI ANALITIK'!D43+'PASIVI ANALITIK'!D38</f>
        <v>6557409</v>
      </c>
      <c r="G127" s="304">
        <f>'PASIVI ANALITIK'!E36+'PASIVI ANALITIK'!E41+'PASIVI ANALITIK'!E42+'PASIVI ANALITIK'!E40+'PASIVI ANALITIK'!E43+'PASIVI ANALITIK'!E38</f>
        <v>28096758</v>
      </c>
      <c r="H127" s="297"/>
    </row>
    <row r="128" spans="2:8" ht="12.75">
      <c r="B128" s="404" t="s">
        <v>223</v>
      </c>
      <c r="C128" s="302" t="s">
        <v>224</v>
      </c>
      <c r="D128" s="297"/>
      <c r="E128" s="297"/>
      <c r="F128" s="304">
        <f>'PASIVI ANALITIK'!D46</f>
        <v>275061482</v>
      </c>
      <c r="G128" s="304">
        <f>'PASIVI ANALITIK'!E46</f>
        <v>559318927</v>
      </c>
      <c r="H128" s="297"/>
    </row>
    <row r="129" spans="2:8" ht="12.75">
      <c r="B129" s="404" t="s">
        <v>225</v>
      </c>
      <c r="C129" s="302" t="s">
        <v>226</v>
      </c>
      <c r="D129" s="297"/>
      <c r="E129" s="297"/>
      <c r="F129" s="304">
        <f>'PASIVI ANALITIK'!D48</f>
        <v>27500000</v>
      </c>
      <c r="G129" s="304">
        <f>'PASIVI ANALITIK'!E48</f>
        <v>7125000</v>
      </c>
      <c r="H129" s="297"/>
    </row>
    <row r="130" spans="2:8" ht="12.75">
      <c r="B130" s="404" t="s">
        <v>228</v>
      </c>
      <c r="C130" s="302" t="s">
        <v>227</v>
      </c>
      <c r="D130" s="297"/>
      <c r="E130" s="297"/>
      <c r="F130" s="304">
        <f>'PASIVI ANALITIK'!D51</f>
        <v>15646147</v>
      </c>
      <c r="G130" s="304">
        <f>'PASIVI ANALITIK'!E51</f>
        <v>26286465</v>
      </c>
      <c r="H130" s="297"/>
    </row>
    <row r="131" spans="2:8" ht="12.75">
      <c r="B131" s="404" t="s">
        <v>270</v>
      </c>
      <c r="C131" s="302" t="s">
        <v>9</v>
      </c>
      <c r="D131" s="297"/>
      <c r="E131" s="297"/>
      <c r="F131" s="304"/>
      <c r="G131" s="304"/>
      <c r="H131" s="297"/>
    </row>
    <row r="132" spans="2:8" ht="15">
      <c r="B132" s="367">
        <v>4</v>
      </c>
      <c r="C132" s="300" t="s">
        <v>12</v>
      </c>
      <c r="D132" s="277"/>
      <c r="E132" s="277"/>
      <c r="F132" s="304">
        <f>'PASIVI ANALITIK'!D56</f>
        <v>0</v>
      </c>
      <c r="G132" s="304">
        <f>'PASIVI ANALITIK'!E56</f>
        <v>0</v>
      </c>
      <c r="H132" s="277"/>
    </row>
    <row r="133" spans="2:8" ht="15">
      <c r="B133" s="367">
        <v>5</v>
      </c>
      <c r="C133" s="300" t="s">
        <v>229</v>
      </c>
      <c r="D133" s="277"/>
      <c r="E133" s="277"/>
      <c r="F133" s="304">
        <f>'PASIVI ANALITIK'!D60</f>
        <v>0</v>
      </c>
      <c r="G133" s="304">
        <f>'PASIVI ANALITIK'!E60</f>
        <v>0</v>
      </c>
      <c r="H133" s="277"/>
    </row>
    <row r="134" spans="2:8" s="280" customFormat="1" ht="18.75">
      <c r="B134" s="388" t="s">
        <v>421</v>
      </c>
      <c r="C134" s="372" t="s">
        <v>235</v>
      </c>
      <c r="D134" s="376">
        <f>IF($D$13&gt;1,SUM(D135+D138+D139+D140)," ")</f>
        <v>0</v>
      </c>
      <c r="E134" s="376">
        <f>IF($D$13&gt;1,SUM(E135+E138+E139+E140)," ")</f>
        <v>0</v>
      </c>
      <c r="F134" s="377">
        <f>IF($D$13&gt;1,SUM(F135+F138+F139+F140)," ")</f>
        <v>263261106</v>
      </c>
      <c r="G134" s="377">
        <f>IF($D$13&gt;1,SUM(G135+G138+G139+G140)," ")</f>
        <v>252079479</v>
      </c>
      <c r="H134" s="376">
        <f>IF($D$13&gt;1,SUM(H135+H138+H139+H140)," ")</f>
        <v>0</v>
      </c>
    </row>
    <row r="135" spans="2:8" s="280" customFormat="1" ht="15.75">
      <c r="B135" s="374">
        <v>1</v>
      </c>
      <c r="C135" s="375" t="s">
        <v>230</v>
      </c>
      <c r="D135" s="291">
        <f>IF($D$13&gt;1,SUM(D136:D137)," ")</f>
        <v>0</v>
      </c>
      <c r="E135" s="291">
        <f>IF($D$13&gt;1,SUM(E136:E137)," ")</f>
        <v>0</v>
      </c>
      <c r="F135" s="303">
        <f>IF($D$13&gt;1,SUM(F136:F137)," ")</f>
        <v>251452419</v>
      </c>
      <c r="G135" s="303">
        <f>IF($D$13&gt;1,SUM(G136:G137)," ")</f>
        <v>233956778</v>
      </c>
      <c r="H135" s="291">
        <f>IF($D$13&gt;1,SUM(H136:H137)," ")</f>
        <v>0</v>
      </c>
    </row>
    <row r="136" spans="2:8" ht="12.75">
      <c r="B136" s="403" t="s">
        <v>389</v>
      </c>
      <c r="C136" s="302" t="s">
        <v>231</v>
      </c>
      <c r="D136" s="277"/>
      <c r="E136" s="277"/>
      <c r="F136" s="304">
        <f>'PASIVI ANALITIK'!D66</f>
        <v>251452419</v>
      </c>
      <c r="G136" s="304">
        <f>'PASIVI ANALITIK'!E66</f>
        <v>233956778</v>
      </c>
      <c r="H136" s="298"/>
    </row>
    <row r="137" spans="2:8" ht="12.75">
      <c r="B137" s="403" t="s">
        <v>442</v>
      </c>
      <c r="C137" s="302" t="s">
        <v>232</v>
      </c>
      <c r="D137" s="277"/>
      <c r="E137" s="277"/>
      <c r="F137" s="304">
        <f>'PASIVI ANALITIK'!D68</f>
        <v>0</v>
      </c>
      <c r="G137" s="304">
        <f>'PASIVI ANALITIK'!E68</f>
        <v>0</v>
      </c>
      <c r="H137" s="298"/>
    </row>
    <row r="138" spans="2:8" s="280" customFormat="1" ht="15.75">
      <c r="B138" s="367">
        <v>2</v>
      </c>
      <c r="C138" s="300" t="s">
        <v>272</v>
      </c>
      <c r="D138" s="288"/>
      <c r="E138" s="288"/>
      <c r="F138" s="323">
        <f>'PASIVI ANALITIK'!D85</f>
        <v>0</v>
      </c>
      <c r="G138" s="323">
        <f>'PASIVI ANALITIK'!E85</f>
        <v>0</v>
      </c>
      <c r="H138" s="301"/>
    </row>
    <row r="139" spans="2:8" s="280" customFormat="1" ht="15.75">
      <c r="B139" s="367">
        <v>3</v>
      </c>
      <c r="C139" s="300" t="s">
        <v>12</v>
      </c>
      <c r="D139" s="288"/>
      <c r="E139" s="288"/>
      <c r="F139" s="323">
        <f>'PASIVI ANALITIK'!D86</f>
        <v>0</v>
      </c>
      <c r="G139" s="323">
        <v>0</v>
      </c>
      <c r="H139" s="301"/>
    </row>
    <row r="140" spans="2:8" s="280" customFormat="1" ht="15.75">
      <c r="B140" s="367">
        <v>4</v>
      </c>
      <c r="C140" s="300" t="s">
        <v>273</v>
      </c>
      <c r="D140" s="288"/>
      <c r="E140" s="288"/>
      <c r="F140" s="323">
        <f>'PASIVI ANALITIK'!D88</f>
        <v>11808687</v>
      </c>
      <c r="G140" s="323">
        <f>'PASIVI ANALITIK'!E88</f>
        <v>18122701</v>
      </c>
      <c r="H140" s="301"/>
    </row>
    <row r="141" spans="2:8" s="280" customFormat="1" ht="18.75">
      <c r="B141" s="387" t="s">
        <v>422</v>
      </c>
      <c r="C141" s="372" t="s">
        <v>371</v>
      </c>
      <c r="D141" s="376">
        <f>IF($D$13&gt;1,SUM(D116+D134)," ")</f>
        <v>0</v>
      </c>
      <c r="E141" s="376">
        <f>IF($D$13&gt;1,SUM(E116+E134)," ")</f>
        <v>0</v>
      </c>
      <c r="F141" s="377">
        <f>IF($D$13&gt;1,SUM(F116+F134)," ")</f>
        <v>1774849321</v>
      </c>
      <c r="G141" s="377">
        <f>IF($D$13&gt;1,SUM(G116+G134)," ")</f>
        <v>2084757883</v>
      </c>
      <c r="H141" s="376">
        <f>IF($D$13&gt;1,SUM(H116+H134)," ")</f>
        <v>0</v>
      </c>
    </row>
    <row r="142" spans="2:8" s="280" customFormat="1" ht="18.75">
      <c r="B142" s="387" t="s">
        <v>425</v>
      </c>
      <c r="C142" s="378" t="s">
        <v>42</v>
      </c>
      <c r="D142" s="376">
        <f>IF($D$13&gt;1,SUM(D143:D152)," ")</f>
        <v>0</v>
      </c>
      <c r="E142" s="376">
        <f>IF($D$13&gt;1,SUM(E143:E152)," ")</f>
        <v>0</v>
      </c>
      <c r="F142" s="377">
        <f>IF($D$13&gt;1,SUM(F143:F152)," ")</f>
        <v>2928251533.6400003</v>
      </c>
      <c r="G142" s="377">
        <f>IF($D$13&gt;1,SUM(G143:G152)," ")</f>
        <v>2085598072</v>
      </c>
      <c r="H142" s="376">
        <f>IF($D$13&gt;1,SUM(H143:H152)," ")</f>
        <v>0</v>
      </c>
    </row>
    <row r="143" spans="2:8" s="280" customFormat="1" ht="15.75">
      <c r="B143" s="368">
        <v>1</v>
      </c>
      <c r="C143" s="300" t="s">
        <v>236</v>
      </c>
      <c r="D143" s="299"/>
      <c r="E143" s="288"/>
      <c r="F143" s="323">
        <f>'PASIVI ANALITIK'!D93</f>
        <v>0</v>
      </c>
      <c r="G143" s="323">
        <f>'PASIVI ANALITIK'!E93</f>
        <v>0</v>
      </c>
      <c r="H143" s="288"/>
    </row>
    <row r="144" spans="2:8" s="280" customFormat="1" ht="15.75">
      <c r="B144" s="368">
        <v>2</v>
      </c>
      <c r="C144" s="300" t="s">
        <v>237</v>
      </c>
      <c r="D144" s="299"/>
      <c r="E144" s="288"/>
      <c r="F144" s="323">
        <f>'PASIVI ANALITIK'!D94</f>
        <v>0</v>
      </c>
      <c r="G144" s="323">
        <f>'PASIVI ANALITIK'!E94</f>
        <v>0</v>
      </c>
      <c r="H144" s="288"/>
    </row>
    <row r="145" spans="2:8" s="280" customFormat="1" ht="15.75">
      <c r="B145" s="368">
        <v>3</v>
      </c>
      <c r="C145" s="300" t="s">
        <v>238</v>
      </c>
      <c r="D145" s="299"/>
      <c r="E145" s="288"/>
      <c r="F145" s="323">
        <f>'PASIVI ANALITIK'!D95</f>
        <v>2547196000</v>
      </c>
      <c r="G145" s="323">
        <f>'PASIVI ANALITIK'!E95</f>
        <v>1734836000</v>
      </c>
      <c r="H145" s="288"/>
    </row>
    <row r="146" spans="2:8" s="280" customFormat="1" ht="15.75">
      <c r="B146" s="368">
        <v>4</v>
      </c>
      <c r="C146" s="300" t="s">
        <v>239</v>
      </c>
      <c r="D146" s="299"/>
      <c r="E146" s="288"/>
      <c r="F146" s="323">
        <v>0</v>
      </c>
      <c r="G146" s="323">
        <f>'PASIVI ANALITIK'!E98</f>
        <v>0</v>
      </c>
      <c r="H146" s="288"/>
    </row>
    <row r="147" spans="2:8" s="280" customFormat="1" ht="15.75">
      <c r="B147" s="368">
        <v>5</v>
      </c>
      <c r="C147" s="300" t="s">
        <v>240</v>
      </c>
      <c r="D147" s="299"/>
      <c r="E147" s="288"/>
      <c r="F147" s="323">
        <f>'PASIVI ANALITIK'!D100</f>
        <v>0</v>
      </c>
      <c r="G147" s="323">
        <f>'PASIVI ANALITIK'!E100</f>
        <v>0</v>
      </c>
      <c r="H147" s="288"/>
    </row>
    <row r="148" spans="2:8" s="280" customFormat="1" ht="15.75">
      <c r="B148" s="368">
        <v>6</v>
      </c>
      <c r="C148" s="300" t="s">
        <v>241</v>
      </c>
      <c r="D148" s="299"/>
      <c r="E148" s="288"/>
      <c r="F148" s="323">
        <f>'PASIVI ANALITIK'!D103</f>
        <v>0</v>
      </c>
      <c r="G148" s="323">
        <f>'PASIVI ANALITIK'!E103</f>
        <v>0</v>
      </c>
      <c r="H148" s="288"/>
    </row>
    <row r="149" spans="2:8" s="280" customFormat="1" ht="15.75">
      <c r="B149" s="368">
        <v>7</v>
      </c>
      <c r="C149" s="300" t="s">
        <v>242</v>
      </c>
      <c r="D149" s="299"/>
      <c r="E149" s="288"/>
      <c r="F149" s="323">
        <f>'PASIVI ANALITIK'!D102</f>
        <v>43050028</v>
      </c>
      <c r="G149" s="323">
        <f>'PASIVI ANALITIK'!E102</f>
        <v>26855488</v>
      </c>
      <c r="H149" s="288"/>
    </row>
    <row r="150" spans="2:8" s="280" customFormat="1" ht="15.75">
      <c r="B150" s="368">
        <v>8</v>
      </c>
      <c r="C150" s="300" t="s">
        <v>243</v>
      </c>
      <c r="D150" s="299"/>
      <c r="E150" s="288"/>
      <c r="F150" s="323">
        <f>'PASIVI ANALITIK'!D104</f>
        <v>0</v>
      </c>
      <c r="G150" s="323">
        <f>'PASIVI ANALITIK'!E104</f>
        <v>0</v>
      </c>
      <c r="H150" s="288"/>
    </row>
    <row r="151" spans="2:8" s="280" customFormat="1" ht="15.75">
      <c r="B151" s="368">
        <v>9</v>
      </c>
      <c r="C151" s="300" t="s">
        <v>244</v>
      </c>
      <c r="D151" s="299"/>
      <c r="E151" s="288"/>
      <c r="F151" s="323">
        <f>'PASIVI ANALITIK'!D105</f>
        <v>32044</v>
      </c>
      <c r="G151" s="323">
        <f>'PASIVI ANALITIK'!E105</f>
        <v>15720</v>
      </c>
      <c r="H151" s="288"/>
    </row>
    <row r="152" spans="2:8" s="280" customFormat="1" ht="15.75">
      <c r="B152" s="368">
        <v>10</v>
      </c>
      <c r="C152" s="300" t="s">
        <v>245</v>
      </c>
      <c r="D152" s="299"/>
      <c r="E152" s="288"/>
      <c r="F152" s="323">
        <f>'PASIVI ANALITIK'!D106</f>
        <v>337973461.64000016</v>
      </c>
      <c r="G152" s="323">
        <f>'PASIVI ANALITIK'!E106</f>
        <v>323890864</v>
      </c>
      <c r="H152" s="288"/>
    </row>
    <row r="153" spans="2:8" s="280" customFormat="1" ht="18.75">
      <c r="B153" s="387" t="s">
        <v>426</v>
      </c>
      <c r="C153" s="370" t="s">
        <v>372</v>
      </c>
      <c r="D153" s="376">
        <f>IF($D$13&gt;1,SUM(D141+D142)," ")</f>
        <v>0</v>
      </c>
      <c r="E153" s="376">
        <f>IF($D$13&gt;1,SUM(E141+E142)," ")</f>
        <v>0</v>
      </c>
      <c r="F153" s="377">
        <f>IF($D$13&gt;1,SUM(F141+F142)," ")</f>
        <v>4703100854.64</v>
      </c>
      <c r="G153" s="377">
        <f>IF($D$13&gt;1,SUM(G141+G142)," ")</f>
        <v>4170355955</v>
      </c>
      <c r="H153" s="376">
        <f>IF($D$13&gt;1,SUM(H141+H142)," ")</f>
        <v>0</v>
      </c>
    </row>
    <row r="154" spans="3:8" ht="12.75">
      <c r="C154" s="379"/>
      <c r="D154" s="13">
        <f>D153-D107</f>
        <v>0</v>
      </c>
      <c r="E154" s="13">
        <f>IF($D$13&gt;1,E153-E107," ")</f>
        <v>0</v>
      </c>
      <c r="F154" s="329">
        <f>IF($D$13&gt;2,F153-F107," ")</f>
        <v>0.1679849624633789</v>
      </c>
      <c r="G154" s="329">
        <f>IF($D$13&gt;3,G153-G107," ")</f>
        <v>-1</v>
      </c>
      <c r="H154" s="16">
        <f>IF($D$13&gt;4,H153-H107," ")</f>
        <v>0</v>
      </c>
    </row>
    <row r="155" spans="3:8" ht="12.75">
      <c r="C155" s="3"/>
      <c r="D155" s="330"/>
      <c r="E155" s="330"/>
      <c r="F155" s="330"/>
      <c r="G155" s="330"/>
      <c r="H155" s="11">
        <v>1000</v>
      </c>
    </row>
    <row r="156" spans="3:8" ht="15.75">
      <c r="C156" s="414" t="s">
        <v>280</v>
      </c>
      <c r="H156" s="14"/>
    </row>
    <row r="157" spans="2:8" ht="12.75">
      <c r="B157" s="263"/>
      <c r="C157" s="334"/>
      <c r="D157" s="449"/>
      <c r="E157" s="449"/>
      <c r="F157" s="451">
        <v>2010</v>
      </c>
      <c r="G157" s="453">
        <v>2009</v>
      </c>
      <c r="H157" s="14"/>
    </row>
    <row r="158" spans="2:8" ht="12.75">
      <c r="B158" s="385">
        <v>1</v>
      </c>
      <c r="C158" s="337" t="s">
        <v>254</v>
      </c>
      <c r="D158" s="449"/>
      <c r="E158" s="449"/>
      <c r="F158" s="450">
        <v>5878929983</v>
      </c>
      <c r="G158" s="450">
        <v>5040253580</v>
      </c>
      <c r="H158" s="14"/>
    </row>
    <row r="159" spans="2:8" ht="12.75">
      <c r="B159" s="385">
        <v>2</v>
      </c>
      <c r="C159" s="337" t="s">
        <v>255</v>
      </c>
      <c r="D159" s="449"/>
      <c r="E159" s="449"/>
      <c r="F159" s="450">
        <v>-5416373257</v>
      </c>
      <c r="G159" s="450">
        <v>-4668120711</v>
      </c>
      <c r="H159" s="14"/>
    </row>
    <row r="160" spans="2:8" ht="12.75">
      <c r="B160" s="385">
        <v>3</v>
      </c>
      <c r="C160" s="337" t="s">
        <v>256</v>
      </c>
      <c r="D160" s="449"/>
      <c r="E160" s="449"/>
      <c r="F160" s="450">
        <v>101650468</v>
      </c>
      <c r="G160" s="450">
        <v>86829239</v>
      </c>
      <c r="H160" s="14"/>
    </row>
    <row r="161" spans="2:8" ht="12.75">
      <c r="B161" s="385">
        <v>4</v>
      </c>
      <c r="C161" s="337" t="s">
        <v>257</v>
      </c>
      <c r="D161" s="449"/>
      <c r="E161" s="449"/>
      <c r="F161" s="450"/>
      <c r="G161" s="450"/>
      <c r="H161" s="14"/>
    </row>
    <row r="162" spans="2:8" ht="12.75">
      <c r="B162" s="385">
        <v>5</v>
      </c>
      <c r="C162" s="337" t="s">
        <v>258</v>
      </c>
      <c r="D162" s="449"/>
      <c r="E162" s="449"/>
      <c r="F162" s="450"/>
      <c r="G162" s="450"/>
      <c r="H162" s="14"/>
    </row>
    <row r="163" spans="2:8" ht="12.75">
      <c r="B163" s="441">
        <v>6</v>
      </c>
      <c r="C163" s="442"/>
      <c r="D163" s="449"/>
      <c r="E163" s="449"/>
      <c r="F163" s="450"/>
      <c r="G163" s="450"/>
      <c r="H163" s="14"/>
    </row>
    <row r="164" spans="2:8" ht="12.75">
      <c r="B164" s="385">
        <v>7</v>
      </c>
      <c r="C164" s="337" t="s">
        <v>259</v>
      </c>
      <c r="D164" s="449"/>
      <c r="E164" s="449"/>
      <c r="F164" s="450">
        <v>-54262193</v>
      </c>
      <c r="G164" s="450">
        <v>-39706884</v>
      </c>
      <c r="H164" s="14"/>
    </row>
    <row r="165" spans="2:8" ht="12.75">
      <c r="B165" s="385">
        <v>8</v>
      </c>
      <c r="C165" s="337" t="s">
        <v>260</v>
      </c>
      <c r="D165" s="449"/>
      <c r="E165" s="449"/>
      <c r="F165" s="450">
        <v>-62720914.96000002</v>
      </c>
      <c r="G165" s="450">
        <v>-40560062</v>
      </c>
      <c r="H165" s="14"/>
    </row>
    <row r="166" spans="2:8" ht="12.75">
      <c r="B166" s="385">
        <v>9</v>
      </c>
      <c r="C166" s="337" t="s">
        <v>261</v>
      </c>
      <c r="D166" s="449"/>
      <c r="E166" s="449"/>
      <c r="F166" s="450"/>
      <c r="G166" s="450"/>
      <c r="H166" s="14"/>
    </row>
    <row r="167" spans="2:8" ht="12.75">
      <c r="B167" s="385">
        <v>10</v>
      </c>
      <c r="C167" s="337" t="s">
        <v>262</v>
      </c>
      <c r="D167" s="449"/>
      <c r="E167" s="449"/>
      <c r="F167" s="450">
        <v>-519266875.2920158</v>
      </c>
      <c r="G167" s="450">
        <v>-470080707</v>
      </c>
      <c r="H167" s="14"/>
    </row>
    <row r="168" spans="2:8" ht="18.75">
      <c r="B168" s="413" t="s">
        <v>418</v>
      </c>
      <c r="C168" s="412" t="s">
        <v>281</v>
      </c>
      <c r="D168" s="449"/>
      <c r="E168" s="449"/>
      <c r="F168" s="452">
        <v>-72042789.25201583</v>
      </c>
      <c r="G168" s="452">
        <v>-91385545</v>
      </c>
      <c r="H168" s="14"/>
    </row>
    <row r="169" spans="2:8" ht="12.75">
      <c r="B169" s="385"/>
      <c r="C169" s="337"/>
      <c r="D169" s="449"/>
      <c r="E169" s="449"/>
      <c r="F169" s="450"/>
      <c r="G169" s="450"/>
      <c r="H169" s="14"/>
    </row>
    <row r="170" spans="2:8" ht="12.75">
      <c r="B170" s="385">
        <v>1</v>
      </c>
      <c r="C170" s="337" t="s">
        <v>263</v>
      </c>
      <c r="D170" s="449"/>
      <c r="E170" s="449"/>
      <c r="F170" s="450"/>
      <c r="G170" s="450"/>
      <c r="H170" s="14"/>
    </row>
    <row r="171" spans="2:8" ht="12.75">
      <c r="B171" s="385">
        <v>2</v>
      </c>
      <c r="C171" s="337" t="s">
        <v>275</v>
      </c>
      <c r="D171" s="449"/>
      <c r="E171" s="449"/>
      <c r="F171" s="450">
        <v>-750527317</v>
      </c>
      <c r="G171" s="450">
        <v>-688992329</v>
      </c>
      <c r="H171" s="14"/>
    </row>
    <row r="172" spans="2:8" ht="12.75">
      <c r="B172" s="385">
        <v>3</v>
      </c>
      <c r="C172" s="446" t="s">
        <v>276</v>
      </c>
      <c r="D172" s="449"/>
      <c r="E172" s="449"/>
      <c r="F172" s="450">
        <v>565643063</v>
      </c>
      <c r="G172" s="450"/>
      <c r="H172" s="14"/>
    </row>
    <row r="173" spans="2:8" ht="12.75">
      <c r="B173" s="385">
        <v>4</v>
      </c>
      <c r="C173" s="337" t="s">
        <v>264</v>
      </c>
      <c r="D173" s="449"/>
      <c r="E173" s="449"/>
      <c r="F173" s="450"/>
      <c r="G173" s="450"/>
      <c r="H173" s="14"/>
    </row>
    <row r="174" spans="2:8" ht="12.75">
      <c r="B174" s="385">
        <v>5</v>
      </c>
      <c r="C174" s="337" t="s">
        <v>265</v>
      </c>
      <c r="D174" s="449"/>
      <c r="E174" s="449"/>
      <c r="F174" s="450"/>
      <c r="G174" s="450"/>
      <c r="H174" s="14"/>
    </row>
    <row r="175" spans="2:8" ht="18.75">
      <c r="B175" s="413" t="s">
        <v>421</v>
      </c>
      <c r="C175" s="412" t="s">
        <v>282</v>
      </c>
      <c r="D175" s="449"/>
      <c r="E175" s="449"/>
      <c r="F175" s="452">
        <v>-184884254</v>
      </c>
      <c r="G175" s="452">
        <v>-688992329</v>
      </c>
      <c r="H175" s="14"/>
    </row>
    <row r="176" spans="2:8" ht="12.75">
      <c r="B176" s="385"/>
      <c r="C176" s="337"/>
      <c r="D176" s="449"/>
      <c r="E176" s="449"/>
      <c r="F176" s="450"/>
      <c r="G176" s="450"/>
      <c r="H176" s="14"/>
    </row>
    <row r="177" spans="2:8" ht="12.75">
      <c r="B177" s="385">
        <v>1</v>
      </c>
      <c r="C177" s="337" t="s">
        <v>266</v>
      </c>
      <c r="D177" s="449"/>
      <c r="E177" s="449"/>
      <c r="F177" s="450">
        <v>544680000</v>
      </c>
      <c r="G177" s="450"/>
      <c r="H177" s="14"/>
    </row>
    <row r="178" spans="2:8" ht="12.75">
      <c r="B178" s="385">
        <v>2</v>
      </c>
      <c r="C178" s="447" t="s">
        <v>279</v>
      </c>
      <c r="D178" s="449"/>
      <c r="E178" s="449"/>
      <c r="F178" s="450">
        <v>-284257445</v>
      </c>
      <c r="G178" s="450">
        <v>559318927</v>
      </c>
      <c r="H178" s="14"/>
    </row>
    <row r="179" spans="2:8" ht="12.75">
      <c r="B179" s="385">
        <v>3</v>
      </c>
      <c r="C179" s="337" t="s">
        <v>267</v>
      </c>
      <c r="D179" s="449"/>
      <c r="E179" s="449"/>
      <c r="F179" s="450"/>
      <c r="G179" s="450"/>
      <c r="H179" s="14"/>
    </row>
    <row r="180" spans="2:8" ht="12.75">
      <c r="B180" s="385">
        <v>4</v>
      </c>
      <c r="C180" s="337" t="s">
        <v>268</v>
      </c>
      <c r="D180" s="449"/>
      <c r="E180" s="449"/>
      <c r="F180" s="450">
        <v>0</v>
      </c>
      <c r="G180" s="450">
        <v>-38344169</v>
      </c>
      <c r="H180" s="14"/>
    </row>
    <row r="181" spans="2:8" ht="12.75">
      <c r="B181" s="441">
        <v>5</v>
      </c>
      <c r="C181" s="442" t="s">
        <v>269</v>
      </c>
      <c r="D181" s="449"/>
      <c r="E181" s="449"/>
      <c r="F181" s="450">
        <v>38198370</v>
      </c>
      <c r="G181" s="450">
        <v>296808096</v>
      </c>
      <c r="H181" s="14"/>
    </row>
    <row r="182" spans="2:8" ht="12.75">
      <c r="B182" s="385">
        <v>6</v>
      </c>
      <c r="C182" s="337" t="s">
        <v>284</v>
      </c>
      <c r="D182" s="449"/>
      <c r="E182" s="449"/>
      <c r="F182" s="450">
        <v>17495641</v>
      </c>
      <c r="G182" s="450">
        <v>18122701</v>
      </c>
      <c r="H182" s="14"/>
    </row>
    <row r="183" spans="2:8" ht="12.75">
      <c r="B183" s="385">
        <v>7</v>
      </c>
      <c r="C183" s="337" t="s">
        <v>285</v>
      </c>
      <c r="D183" s="449"/>
      <c r="E183" s="449"/>
      <c r="F183" s="450"/>
      <c r="G183" s="450"/>
      <c r="H183" s="14"/>
    </row>
    <row r="184" spans="2:8" ht="12.75">
      <c r="B184" s="385">
        <v>8</v>
      </c>
      <c r="C184" s="337" t="s">
        <v>277</v>
      </c>
      <c r="D184" s="449"/>
      <c r="E184" s="449"/>
      <c r="F184" s="450">
        <v>-19624999.99999976</v>
      </c>
      <c r="G184" s="450">
        <v>-43125000</v>
      </c>
      <c r="H184" s="14"/>
    </row>
    <row r="185" spans="2:8" ht="18.75">
      <c r="B185" s="410" t="s">
        <v>422</v>
      </c>
      <c r="C185" s="412" t="s">
        <v>283</v>
      </c>
      <c r="D185" s="449"/>
      <c r="E185" s="449"/>
      <c r="F185" s="452">
        <v>296491566.00000024</v>
      </c>
      <c r="G185" s="452">
        <v>792780555</v>
      </c>
      <c r="H185" s="14"/>
    </row>
    <row r="186" spans="2:8" ht="18.75">
      <c r="B186" s="410" t="s">
        <v>425</v>
      </c>
      <c r="C186" s="411" t="s">
        <v>286</v>
      </c>
      <c r="D186" s="449"/>
      <c r="E186" s="449"/>
      <c r="F186" s="452">
        <v>39564522.74798441</v>
      </c>
      <c r="G186" s="452">
        <v>12402681</v>
      </c>
      <c r="H186" s="14"/>
    </row>
    <row r="187" spans="2:8" ht="18.75">
      <c r="B187" s="410" t="s">
        <v>426</v>
      </c>
      <c r="C187" s="411" t="s">
        <v>287</v>
      </c>
      <c r="D187" s="449"/>
      <c r="E187" s="449"/>
      <c r="F187" s="452">
        <v>130267008</v>
      </c>
      <c r="G187" s="452">
        <v>117864327</v>
      </c>
      <c r="H187" s="14"/>
    </row>
    <row r="188" spans="2:8" ht="18.75">
      <c r="B188" s="410" t="s">
        <v>431</v>
      </c>
      <c r="C188" s="411" t="s">
        <v>288</v>
      </c>
      <c r="D188" s="449"/>
      <c r="E188" s="449"/>
      <c r="F188" s="452">
        <v>169831530.7479844</v>
      </c>
      <c r="G188" s="452">
        <v>130267008</v>
      </c>
      <c r="H188" s="14"/>
    </row>
    <row r="189" ht="12.75">
      <c r="H189" s="14"/>
    </row>
    <row r="190" ht="12.75">
      <c r="H190" s="14"/>
    </row>
    <row r="191" ht="12.75">
      <c r="H191" s="14"/>
    </row>
    <row r="192" ht="12.75">
      <c r="H192" s="14"/>
    </row>
    <row r="193" ht="12.75">
      <c r="H193" s="14"/>
    </row>
    <row r="194" ht="12.75">
      <c r="H194" s="14"/>
    </row>
    <row r="195" ht="12.75">
      <c r="H195" s="14"/>
    </row>
    <row r="196" ht="12.75">
      <c r="H196" s="14"/>
    </row>
    <row r="197" ht="12.75">
      <c r="H197" s="14"/>
    </row>
    <row r="198" ht="12.75">
      <c r="H198" s="14"/>
    </row>
    <row r="199" ht="12.75">
      <c r="H199" s="14"/>
    </row>
    <row r="200" ht="12.75">
      <c r="H200" s="14"/>
    </row>
    <row r="201" ht="12.75">
      <c r="H201" s="14"/>
    </row>
    <row r="202" ht="12.75">
      <c r="H202" s="14"/>
    </row>
    <row r="203" ht="12.75">
      <c r="H203" s="14"/>
    </row>
    <row r="204" ht="12.75">
      <c r="H204" s="14"/>
    </row>
    <row r="205" ht="12.75">
      <c r="H205" s="14"/>
    </row>
    <row r="206" ht="12.75">
      <c r="H206" s="14"/>
    </row>
    <row r="207" ht="12.75">
      <c r="H207" s="14"/>
    </row>
    <row r="208" ht="12.75">
      <c r="H208" s="14"/>
    </row>
    <row r="209" ht="12.75">
      <c r="H209" s="14"/>
    </row>
    <row r="210" ht="12.75">
      <c r="H210" s="14"/>
    </row>
    <row r="211" ht="12.75">
      <c r="H211" s="14"/>
    </row>
    <row r="212" ht="12.75">
      <c r="H212" s="14"/>
    </row>
    <row r="213" ht="12.75">
      <c r="H213" s="14"/>
    </row>
    <row r="214" ht="12.75">
      <c r="H214" s="14"/>
    </row>
    <row r="215" ht="12.75">
      <c r="H215" s="14"/>
    </row>
    <row r="216" ht="12.75">
      <c r="H216" s="14"/>
    </row>
    <row r="217" ht="12.75">
      <c r="H217" s="14"/>
    </row>
    <row r="218" ht="12.75">
      <c r="H218" s="14"/>
    </row>
    <row r="219" ht="12.75">
      <c r="H219" s="14"/>
    </row>
    <row r="220" ht="12.75">
      <c r="H220" s="14"/>
    </row>
    <row r="221" ht="12.75">
      <c r="H221" s="14"/>
    </row>
    <row r="222" ht="12.75">
      <c r="H222" s="14"/>
    </row>
    <row r="223" ht="12.75">
      <c r="H223" s="14"/>
    </row>
    <row r="224" ht="12.75">
      <c r="H224" s="14"/>
    </row>
    <row r="225" ht="12.75">
      <c r="H225" s="14"/>
    </row>
    <row r="226" ht="12.75">
      <c r="H226" s="14"/>
    </row>
    <row r="227" ht="12.75">
      <c r="H227" s="14"/>
    </row>
    <row r="228" ht="12.75">
      <c r="H228" s="14"/>
    </row>
    <row r="229" ht="12.75">
      <c r="H229" s="14"/>
    </row>
    <row r="230" ht="12.75">
      <c r="H230" s="14"/>
    </row>
    <row r="231" ht="12.75">
      <c r="H231" s="14"/>
    </row>
    <row r="232" ht="12.75">
      <c r="H232" s="14"/>
    </row>
    <row r="233" ht="12.75">
      <c r="H233" s="14"/>
    </row>
    <row r="234" ht="12.75">
      <c r="H234" s="14"/>
    </row>
    <row r="235" ht="12.75">
      <c r="H235" s="14"/>
    </row>
    <row r="236" ht="12.75">
      <c r="H236" s="14"/>
    </row>
    <row r="237" ht="12.75">
      <c r="H237" s="14"/>
    </row>
    <row r="238" ht="12.75">
      <c r="H238" s="14"/>
    </row>
    <row r="239" ht="12.75">
      <c r="H239" s="14"/>
    </row>
    <row r="240" ht="12.75">
      <c r="H240" s="14"/>
    </row>
    <row r="241" ht="12.75">
      <c r="H241" s="14"/>
    </row>
    <row r="242" ht="12.75">
      <c r="H242" s="14"/>
    </row>
    <row r="243" ht="12.75">
      <c r="H243" s="14"/>
    </row>
    <row r="244" ht="12.75">
      <c r="H244" s="14"/>
    </row>
    <row r="245" ht="12.75">
      <c r="H245" s="14"/>
    </row>
    <row r="246" ht="12.75">
      <c r="H246" s="14"/>
    </row>
    <row r="247" ht="12.75">
      <c r="H247" s="14"/>
    </row>
    <row r="248" ht="12.75">
      <c r="H248" s="14"/>
    </row>
    <row r="249" ht="12.75">
      <c r="H249" s="14"/>
    </row>
    <row r="250" ht="12.75">
      <c r="H250" s="14"/>
    </row>
    <row r="251" ht="12.75">
      <c r="H251" s="14"/>
    </row>
    <row r="252" ht="12.75">
      <c r="H252" s="14"/>
    </row>
    <row r="253" ht="12.75">
      <c r="H253" s="14"/>
    </row>
    <row r="254" ht="12.75">
      <c r="H254" s="14"/>
    </row>
    <row r="255" ht="12.75">
      <c r="H255" s="14"/>
    </row>
    <row r="256" ht="12.75">
      <c r="H256" s="14"/>
    </row>
    <row r="257" ht="12.75">
      <c r="H257" s="14"/>
    </row>
    <row r="258" ht="12.75">
      <c r="H258" s="14"/>
    </row>
    <row r="259" ht="12.75">
      <c r="H259" s="14"/>
    </row>
    <row r="260" ht="12.75">
      <c r="H260" s="14"/>
    </row>
    <row r="261" ht="12.75">
      <c r="H261" s="14"/>
    </row>
    <row r="262" ht="12.75">
      <c r="H262" s="14"/>
    </row>
    <row r="263" ht="12.75">
      <c r="H263" s="14"/>
    </row>
    <row r="264" ht="12.75">
      <c r="H264" s="14"/>
    </row>
    <row r="265" ht="12.75">
      <c r="H265" s="14"/>
    </row>
    <row r="266" ht="12.75">
      <c r="H266" s="14"/>
    </row>
    <row r="267" ht="12.75">
      <c r="H267" s="14"/>
    </row>
    <row r="268" ht="12.75">
      <c r="H268" s="14"/>
    </row>
    <row r="269" ht="12.75">
      <c r="H269" s="14"/>
    </row>
    <row r="270" ht="12.75">
      <c r="H270" s="14"/>
    </row>
    <row r="271" ht="12.75">
      <c r="H271" s="14"/>
    </row>
    <row r="272" ht="12.75">
      <c r="H272" s="14"/>
    </row>
    <row r="273" ht="12.75">
      <c r="H273" s="14"/>
    </row>
    <row r="274" ht="12.75">
      <c r="H274" s="14"/>
    </row>
    <row r="275" ht="12.75">
      <c r="H275" s="14"/>
    </row>
    <row r="276" ht="12.75">
      <c r="H276" s="14"/>
    </row>
    <row r="277" ht="12.75">
      <c r="H277" s="14"/>
    </row>
    <row r="278" ht="12.75">
      <c r="H278" s="14"/>
    </row>
    <row r="279" ht="12.75">
      <c r="H279" s="14"/>
    </row>
    <row r="280" ht="12.75">
      <c r="H280" s="14"/>
    </row>
    <row r="281" ht="12.75">
      <c r="H281" s="14"/>
    </row>
    <row r="282" ht="12.75">
      <c r="H282" s="14"/>
    </row>
    <row r="283" ht="12.75">
      <c r="H283" s="14"/>
    </row>
    <row r="284" ht="12.75">
      <c r="H284" s="14"/>
    </row>
    <row r="285" ht="12.75">
      <c r="H285" s="14"/>
    </row>
    <row r="286" ht="12.75">
      <c r="H286" s="14"/>
    </row>
    <row r="287" ht="12.75">
      <c r="H287" s="14"/>
    </row>
    <row r="288" ht="12.75">
      <c r="H288" s="14"/>
    </row>
    <row r="289" ht="12.75">
      <c r="H289" s="14"/>
    </row>
    <row r="290" ht="12.75">
      <c r="H290" s="14"/>
    </row>
    <row r="291" ht="12.75">
      <c r="H291" s="14"/>
    </row>
    <row r="292" ht="12.75">
      <c r="H292" s="14"/>
    </row>
    <row r="293" ht="12.75">
      <c r="H293" s="14"/>
    </row>
    <row r="294" ht="12.75">
      <c r="H294" s="14"/>
    </row>
    <row r="295" ht="12.75">
      <c r="H295" s="14"/>
    </row>
    <row r="296" ht="12.75">
      <c r="H296" s="14"/>
    </row>
    <row r="297" ht="12.75">
      <c r="H297" s="14"/>
    </row>
    <row r="298" ht="12.75">
      <c r="H298" s="14"/>
    </row>
    <row r="299" ht="12.75">
      <c r="H299" s="14"/>
    </row>
    <row r="300" ht="12.75">
      <c r="H300" s="14"/>
    </row>
    <row r="301" ht="12.75">
      <c r="H301" s="14"/>
    </row>
    <row r="302" ht="12.75">
      <c r="H302" s="14"/>
    </row>
    <row r="303" ht="12.75">
      <c r="H303" s="14"/>
    </row>
    <row r="304" ht="12.75">
      <c r="H304" s="14"/>
    </row>
    <row r="305" ht="12.75">
      <c r="H305" s="14"/>
    </row>
    <row r="306" ht="12.75">
      <c r="H306" s="14"/>
    </row>
    <row r="307" ht="12.75">
      <c r="H307" s="14"/>
    </row>
    <row r="308" ht="12.75">
      <c r="H308" s="14"/>
    </row>
    <row r="309" ht="12.75">
      <c r="H309" s="14"/>
    </row>
    <row r="310" ht="12.75">
      <c r="H310" s="14"/>
    </row>
    <row r="311" ht="12.75">
      <c r="H311" s="14"/>
    </row>
    <row r="312" ht="12.75">
      <c r="H312" s="14"/>
    </row>
    <row r="313" ht="12.75">
      <c r="H313" s="14"/>
    </row>
    <row r="314" ht="12.75">
      <c r="H314" s="14"/>
    </row>
    <row r="315" ht="12.75">
      <c r="H315" s="14"/>
    </row>
    <row r="316" ht="12.75">
      <c r="H316" s="14"/>
    </row>
    <row r="317" ht="12.75">
      <c r="H317" s="14"/>
    </row>
    <row r="318" ht="12.75">
      <c r="H318" s="14"/>
    </row>
    <row r="319" ht="12.75">
      <c r="H319" s="14"/>
    </row>
    <row r="320" ht="12.75">
      <c r="H320" s="14"/>
    </row>
    <row r="321" ht="12.75">
      <c r="H321" s="14"/>
    </row>
    <row r="322" ht="12.75">
      <c r="H322" s="14"/>
    </row>
    <row r="323" ht="12.75">
      <c r="H323" s="14"/>
    </row>
    <row r="324" ht="12.75">
      <c r="H324" s="14"/>
    </row>
    <row r="325" ht="12.75">
      <c r="H325" s="14"/>
    </row>
    <row r="326" ht="12.75">
      <c r="H326" s="14"/>
    </row>
    <row r="327" ht="12.75">
      <c r="H327" s="14"/>
    </row>
    <row r="328" ht="12.75">
      <c r="H328" s="14"/>
    </row>
    <row r="329" ht="12.75">
      <c r="H329" s="14"/>
    </row>
    <row r="330" ht="12.75">
      <c r="H330" s="14"/>
    </row>
    <row r="331" ht="12.75">
      <c r="H331" s="14"/>
    </row>
    <row r="332" ht="12.75">
      <c r="H332" s="14"/>
    </row>
    <row r="333" ht="12.75">
      <c r="H333" s="14"/>
    </row>
    <row r="334" ht="12.75">
      <c r="H334" s="14"/>
    </row>
    <row r="335" ht="12.75">
      <c r="H335" s="14"/>
    </row>
    <row r="336" ht="12.75">
      <c r="H336" s="14"/>
    </row>
    <row r="337" ht="12.75">
      <c r="H337" s="14"/>
    </row>
    <row r="338" ht="12.75">
      <c r="H338" s="14"/>
    </row>
    <row r="339" ht="12.75">
      <c r="H339" s="14"/>
    </row>
    <row r="340" ht="12.75">
      <c r="H340" s="14"/>
    </row>
    <row r="341" ht="12.75">
      <c r="H341" s="14"/>
    </row>
    <row r="342" ht="12.75">
      <c r="H342" s="14"/>
    </row>
    <row r="343" ht="12.75">
      <c r="H343" s="14"/>
    </row>
    <row r="344" ht="12.75">
      <c r="H344" s="14"/>
    </row>
    <row r="345" ht="12.75">
      <c r="H345" s="14"/>
    </row>
    <row r="346" ht="12.75">
      <c r="H346" s="14"/>
    </row>
    <row r="347" ht="12.75">
      <c r="H347" s="14"/>
    </row>
    <row r="348" ht="12.75">
      <c r="H348" s="14"/>
    </row>
    <row r="349" ht="12.75">
      <c r="H349" s="14"/>
    </row>
    <row r="350" ht="12.75">
      <c r="H350" s="14"/>
    </row>
    <row r="351" ht="12.75">
      <c r="H351" s="14"/>
    </row>
    <row r="352" ht="12.75">
      <c r="H352" s="14"/>
    </row>
    <row r="353" ht="12.75">
      <c r="H353" s="14"/>
    </row>
    <row r="354" ht="12.75">
      <c r="H354" s="14"/>
    </row>
    <row r="355" ht="12.75">
      <c r="H355" s="14"/>
    </row>
    <row r="356" ht="12.75">
      <c r="H356" s="14"/>
    </row>
    <row r="357" ht="12.75">
      <c r="H357" s="14"/>
    </row>
    <row r="358" ht="12.75">
      <c r="H358" s="14"/>
    </row>
    <row r="359" ht="12.75">
      <c r="H359" s="14"/>
    </row>
    <row r="360" ht="12.75">
      <c r="H360" s="14"/>
    </row>
    <row r="361" ht="12.75">
      <c r="H361" s="14"/>
    </row>
    <row r="362" ht="12.75">
      <c r="H362" s="14"/>
    </row>
    <row r="363" ht="12.75">
      <c r="H363" s="14"/>
    </row>
    <row r="364" ht="12.75">
      <c r="H364" s="14"/>
    </row>
    <row r="365" ht="12.75">
      <c r="H365" s="14"/>
    </row>
    <row r="366" ht="12.75">
      <c r="H366" s="14"/>
    </row>
    <row r="367" ht="12.75">
      <c r="H367" s="14"/>
    </row>
    <row r="368" ht="12.75">
      <c r="H368" s="14"/>
    </row>
    <row r="369" ht="12.75">
      <c r="H369" s="14"/>
    </row>
    <row r="370" ht="12.75">
      <c r="H370" s="14"/>
    </row>
    <row r="371" ht="12.75">
      <c r="H371" s="14"/>
    </row>
    <row r="372" ht="12.75">
      <c r="H372" s="14"/>
    </row>
    <row r="373" ht="12.75">
      <c r="H373" s="14"/>
    </row>
    <row r="374" ht="12.75">
      <c r="H374" s="14"/>
    </row>
    <row r="375" ht="12.75">
      <c r="H375" s="14"/>
    </row>
    <row r="376" ht="12.75">
      <c r="H376" s="14"/>
    </row>
    <row r="377" ht="12.75">
      <c r="H377" s="14"/>
    </row>
    <row r="378" ht="12.75">
      <c r="H378" s="14"/>
    </row>
    <row r="379" ht="12.75">
      <c r="H379" s="14"/>
    </row>
    <row r="380" ht="12.75">
      <c r="H380" s="14"/>
    </row>
    <row r="381" ht="12.75">
      <c r="H381" s="14"/>
    </row>
    <row r="382" ht="12.75">
      <c r="H382" s="14"/>
    </row>
    <row r="383" ht="12.75">
      <c r="H383" s="14"/>
    </row>
    <row r="384" ht="12.75">
      <c r="H384" s="14"/>
    </row>
    <row r="385" ht="12.75">
      <c r="H385" s="14"/>
    </row>
    <row r="386" ht="12.75">
      <c r="H386" s="14"/>
    </row>
    <row r="387" ht="12.75">
      <c r="H387" s="14"/>
    </row>
    <row r="388" ht="12.75">
      <c r="H388" s="14"/>
    </row>
    <row r="389" ht="12.75">
      <c r="H389" s="14"/>
    </row>
    <row r="390" ht="12.75">
      <c r="H390" s="14"/>
    </row>
    <row r="391" ht="12.75">
      <c r="H391" s="14"/>
    </row>
    <row r="392" ht="12.75">
      <c r="H392" s="14"/>
    </row>
    <row r="393" ht="12.75">
      <c r="H393" s="14"/>
    </row>
    <row r="394" ht="12.75">
      <c r="H394" s="14"/>
    </row>
    <row r="395" ht="12.75">
      <c r="H395" s="14"/>
    </row>
    <row r="396" ht="12.75">
      <c r="H396" s="14"/>
    </row>
    <row r="397" ht="12.75">
      <c r="H397" s="14"/>
    </row>
    <row r="398" ht="12.75">
      <c r="H398" s="14"/>
    </row>
    <row r="399" ht="12.75">
      <c r="H399" s="14"/>
    </row>
    <row r="400" ht="12.75">
      <c r="H400" s="14"/>
    </row>
    <row r="401" ht="12.75">
      <c r="H401" s="14"/>
    </row>
    <row r="402" ht="12.75">
      <c r="H402" s="14"/>
    </row>
    <row r="403" ht="12.75">
      <c r="H403" s="14"/>
    </row>
    <row r="404" ht="12.75">
      <c r="H404" s="14"/>
    </row>
    <row r="405" ht="12.75">
      <c r="H405" s="14"/>
    </row>
    <row r="406" ht="12.75">
      <c r="H406" s="14"/>
    </row>
    <row r="407" ht="12.75">
      <c r="H407" s="14"/>
    </row>
    <row r="408" ht="12.75">
      <c r="H408" s="14"/>
    </row>
    <row r="409" ht="12.75">
      <c r="H409" s="14"/>
    </row>
    <row r="410" ht="12.75">
      <c r="H410" s="14"/>
    </row>
    <row r="411" ht="12.75">
      <c r="H411" s="14"/>
    </row>
    <row r="412" ht="12.75">
      <c r="H412" s="14"/>
    </row>
    <row r="413" ht="12.75">
      <c r="H413" s="14"/>
    </row>
    <row r="414" ht="12.75">
      <c r="H414" s="14"/>
    </row>
    <row r="415" ht="12.75">
      <c r="H415" s="14"/>
    </row>
    <row r="416" ht="12.75">
      <c r="H416" s="14"/>
    </row>
    <row r="417" ht="12.75">
      <c r="H417" s="14"/>
    </row>
    <row r="418" ht="12.75">
      <c r="H418" s="14"/>
    </row>
    <row r="419" ht="12.75">
      <c r="H419" s="14"/>
    </row>
    <row r="420" ht="12.75">
      <c r="H420" s="14"/>
    </row>
    <row r="421" ht="12.75">
      <c r="H421" s="14"/>
    </row>
    <row r="422" ht="12.75">
      <c r="H422" s="14"/>
    </row>
    <row r="423" ht="12.75">
      <c r="H423" s="14"/>
    </row>
    <row r="424" ht="12.75">
      <c r="H424" s="14"/>
    </row>
    <row r="425" ht="12.75">
      <c r="H425" s="14"/>
    </row>
    <row r="426" ht="12.75">
      <c r="H426" s="14"/>
    </row>
    <row r="427" ht="12.75">
      <c r="H427" s="14"/>
    </row>
    <row r="428" ht="12.75">
      <c r="H428" s="14"/>
    </row>
    <row r="429" ht="12.75">
      <c r="H429" s="14"/>
    </row>
    <row r="430" ht="12.75">
      <c r="H430" s="14"/>
    </row>
    <row r="431" ht="12.75">
      <c r="H431" s="14"/>
    </row>
    <row r="432" ht="12.75">
      <c r="H432" s="14"/>
    </row>
    <row r="433" ht="12.75">
      <c r="H433" s="14"/>
    </row>
    <row r="434" ht="12.75">
      <c r="H434" s="14"/>
    </row>
    <row r="435" ht="12.75">
      <c r="H435" s="14"/>
    </row>
    <row r="436" ht="12.75">
      <c r="H436" s="14"/>
    </row>
    <row r="437" ht="12.75">
      <c r="H437" s="14"/>
    </row>
    <row r="438" ht="12.75">
      <c r="H438" s="14"/>
    </row>
    <row r="439" ht="12.75">
      <c r="H439" s="14"/>
    </row>
    <row r="440" ht="12.75">
      <c r="H440" s="14"/>
    </row>
    <row r="441" ht="12.75">
      <c r="H441" s="14"/>
    </row>
    <row r="442" ht="12.75">
      <c r="H442" s="14"/>
    </row>
    <row r="443" ht="12.75">
      <c r="H443" s="14"/>
    </row>
    <row r="444" ht="12.75">
      <c r="H444" s="14"/>
    </row>
    <row r="445" ht="12.75">
      <c r="H445" s="14"/>
    </row>
    <row r="446" ht="12.75">
      <c r="H446" s="14"/>
    </row>
    <row r="447" ht="12.75">
      <c r="H447" s="14"/>
    </row>
    <row r="448" ht="12.75">
      <c r="H448" s="14"/>
    </row>
    <row r="449" ht="12.75">
      <c r="H449" s="14"/>
    </row>
    <row r="450" ht="12.75">
      <c r="H450" s="14"/>
    </row>
    <row r="451" ht="12.75">
      <c r="H451" s="14"/>
    </row>
    <row r="452" ht="12.75">
      <c r="H452" s="14"/>
    </row>
    <row r="453" ht="12.75">
      <c r="H453" s="14"/>
    </row>
    <row r="454" ht="12.75">
      <c r="H454" s="14"/>
    </row>
    <row r="455" ht="12.75">
      <c r="H455" s="14"/>
    </row>
    <row r="456" ht="12.75">
      <c r="H456" s="14"/>
    </row>
    <row r="457" ht="12.75">
      <c r="H457" s="14"/>
    </row>
    <row r="458" ht="12.75">
      <c r="H458" s="14"/>
    </row>
    <row r="459" ht="12.75">
      <c r="H459" s="14"/>
    </row>
    <row r="460" ht="12.75">
      <c r="H460" s="14"/>
    </row>
    <row r="461" ht="12.75">
      <c r="H461" s="14"/>
    </row>
    <row r="462" ht="12.75">
      <c r="H462" s="14"/>
    </row>
    <row r="463" ht="12.75">
      <c r="H463" s="14"/>
    </row>
    <row r="464" ht="12.75">
      <c r="H464" s="14"/>
    </row>
    <row r="465" ht="12.75">
      <c r="H465" s="14"/>
    </row>
    <row r="466" ht="12.75">
      <c r="H466" s="14"/>
    </row>
    <row r="467" ht="12.75">
      <c r="H467" s="14"/>
    </row>
    <row r="468" ht="12.75">
      <c r="H468" s="14"/>
    </row>
    <row r="469" ht="12.75">
      <c r="H469" s="14"/>
    </row>
    <row r="470" ht="12.75">
      <c r="H470" s="14"/>
    </row>
    <row r="471" ht="12.75">
      <c r="H471" s="14"/>
    </row>
    <row r="472" ht="12.75">
      <c r="H472" s="14"/>
    </row>
    <row r="473" ht="12.75">
      <c r="H473" s="14"/>
    </row>
    <row r="474" ht="12.75">
      <c r="H474" s="14"/>
    </row>
    <row r="475" ht="12.75">
      <c r="H475" s="14"/>
    </row>
    <row r="476" ht="12.75">
      <c r="H476" s="14"/>
    </row>
    <row r="477" ht="12.75">
      <c r="H477" s="14"/>
    </row>
    <row r="478" ht="12.75">
      <c r="H478" s="14"/>
    </row>
    <row r="479" ht="12.75">
      <c r="H479" s="14"/>
    </row>
    <row r="480" ht="12.75">
      <c r="H480" s="14"/>
    </row>
    <row r="481" ht="12.75">
      <c r="H481" s="14"/>
    </row>
    <row r="482" ht="12.75">
      <c r="H482" s="14"/>
    </row>
    <row r="483" ht="12.75">
      <c r="H483" s="14"/>
    </row>
    <row r="484" ht="12.75">
      <c r="H484" s="14"/>
    </row>
    <row r="485" ht="12.75">
      <c r="H485" s="14"/>
    </row>
    <row r="486" ht="12.75">
      <c r="H486" s="14"/>
    </row>
    <row r="487" ht="12.75">
      <c r="H487" s="14"/>
    </row>
    <row r="488" ht="12.75">
      <c r="H488" s="14"/>
    </row>
    <row r="489" ht="12.75">
      <c r="H489" s="14"/>
    </row>
    <row r="490" ht="12.75">
      <c r="H490" s="14"/>
    </row>
    <row r="491" ht="12.75">
      <c r="H491" s="14"/>
    </row>
    <row r="492" ht="12.75">
      <c r="H492" s="14"/>
    </row>
    <row r="493" ht="12.75">
      <c r="H493" s="14"/>
    </row>
    <row r="494" ht="12.75">
      <c r="H494" s="14"/>
    </row>
    <row r="495" ht="12.75">
      <c r="H495" s="14"/>
    </row>
    <row r="496" ht="12.75">
      <c r="H496" s="14"/>
    </row>
    <row r="497" ht="12.75">
      <c r="H497" s="14"/>
    </row>
    <row r="498" ht="12.75">
      <c r="H498" s="14"/>
    </row>
    <row r="499" ht="12.75">
      <c r="H499" s="14"/>
    </row>
    <row r="500" ht="12.75">
      <c r="H500" s="14"/>
    </row>
    <row r="501" ht="12.75">
      <c r="H501" s="14"/>
    </row>
    <row r="502" ht="12.75">
      <c r="H502" s="14"/>
    </row>
    <row r="503" ht="12.75">
      <c r="H503" s="14"/>
    </row>
    <row r="504" ht="12.75">
      <c r="H504" s="14"/>
    </row>
    <row r="505" ht="12.75">
      <c r="H505" s="14"/>
    </row>
    <row r="506" ht="12.75">
      <c r="H506" s="14"/>
    </row>
    <row r="507" ht="12.75">
      <c r="H507" s="14"/>
    </row>
    <row r="508" ht="12.75">
      <c r="H508" s="14"/>
    </row>
    <row r="509" ht="12.75">
      <c r="H509" s="14"/>
    </row>
    <row r="510" ht="12.75">
      <c r="H510" s="14"/>
    </row>
    <row r="511" ht="12.75">
      <c r="H511" s="14"/>
    </row>
    <row r="512" ht="12.75">
      <c r="H512" s="14"/>
    </row>
    <row r="513" ht="12.75">
      <c r="H513" s="14"/>
    </row>
    <row r="514" ht="12.75">
      <c r="H514" s="14"/>
    </row>
    <row r="515" ht="12.75">
      <c r="H515" s="14"/>
    </row>
    <row r="516" ht="12.75">
      <c r="H516" s="14"/>
    </row>
    <row r="517" ht="12.75">
      <c r="H517" s="14"/>
    </row>
    <row r="518" ht="12.75">
      <c r="H518" s="14"/>
    </row>
    <row r="519" ht="12.75">
      <c r="H519" s="14"/>
    </row>
    <row r="520" ht="12.75">
      <c r="H520" s="14"/>
    </row>
    <row r="521" ht="12.75">
      <c r="H521" s="14"/>
    </row>
    <row r="522" ht="12.75">
      <c r="H522" s="14"/>
    </row>
    <row r="523" ht="12.75">
      <c r="H523" s="14"/>
    </row>
    <row r="524" ht="12.75">
      <c r="H524" s="14"/>
    </row>
    <row r="525" ht="12.75">
      <c r="H525" s="14"/>
    </row>
    <row r="526" ht="12.75">
      <c r="H526" s="14"/>
    </row>
    <row r="527" ht="12.75">
      <c r="H527" s="14"/>
    </row>
    <row r="528" ht="12.75">
      <c r="H528" s="14"/>
    </row>
    <row r="529" ht="12.75">
      <c r="H529" s="14"/>
    </row>
    <row r="530" ht="12.75">
      <c r="H530" s="14"/>
    </row>
    <row r="531" ht="12.75">
      <c r="H531" s="14"/>
    </row>
    <row r="532" ht="12.75">
      <c r="H532" s="14"/>
    </row>
    <row r="533" ht="12.75">
      <c r="H533" s="14"/>
    </row>
    <row r="534" ht="12.75">
      <c r="H534" s="14"/>
    </row>
    <row r="535" ht="12.75">
      <c r="H535" s="14"/>
    </row>
    <row r="536" ht="12.75">
      <c r="H536" s="14"/>
    </row>
    <row r="537" ht="12.75">
      <c r="H537" s="14"/>
    </row>
    <row r="538" ht="12.75">
      <c r="H538" s="14"/>
    </row>
    <row r="539" ht="12.75">
      <c r="H539" s="14"/>
    </row>
    <row r="540" ht="12.75">
      <c r="H540" s="14"/>
    </row>
    <row r="541" ht="12.75">
      <c r="H541" s="14"/>
    </row>
    <row r="542" ht="12.75">
      <c r="H542" s="14"/>
    </row>
    <row r="543" ht="12.75">
      <c r="H543" s="14"/>
    </row>
    <row r="544" ht="12.75">
      <c r="H544" s="14"/>
    </row>
    <row r="545" ht="12.75">
      <c r="H545" s="14"/>
    </row>
    <row r="546" ht="12.75">
      <c r="H546" s="14"/>
    </row>
    <row r="547" ht="12.75">
      <c r="H547" s="14"/>
    </row>
    <row r="548" ht="12.75">
      <c r="H548" s="14"/>
    </row>
    <row r="549" ht="12.75">
      <c r="H549" s="14"/>
    </row>
    <row r="550" ht="12.75">
      <c r="H550" s="14"/>
    </row>
    <row r="551" ht="12.75">
      <c r="H551" s="14"/>
    </row>
    <row r="552" ht="12.75">
      <c r="H552" s="14"/>
    </row>
    <row r="553" ht="12.75">
      <c r="H553" s="14"/>
    </row>
    <row r="554" ht="12.75">
      <c r="H554" s="14"/>
    </row>
    <row r="555" ht="12.75">
      <c r="H555" s="14"/>
    </row>
    <row r="556" ht="12.75">
      <c r="H556" s="14"/>
    </row>
    <row r="557" ht="12.75">
      <c r="H557" s="14"/>
    </row>
    <row r="558" ht="12.75">
      <c r="H558" s="14"/>
    </row>
    <row r="559" ht="12.75">
      <c r="H559" s="14"/>
    </row>
    <row r="560" ht="12.75">
      <c r="H560" s="14"/>
    </row>
    <row r="561" ht="12.75">
      <c r="H561" s="14"/>
    </row>
    <row r="562" ht="12.75">
      <c r="H562" s="14"/>
    </row>
    <row r="563" ht="12.75">
      <c r="H563" s="14"/>
    </row>
    <row r="564" ht="12.75">
      <c r="H564" s="14"/>
    </row>
    <row r="565" ht="12.75">
      <c r="H565" s="14"/>
    </row>
    <row r="566" ht="12.75">
      <c r="H566" s="14"/>
    </row>
    <row r="567" ht="12.75">
      <c r="H567" s="14"/>
    </row>
    <row r="568" ht="12.75">
      <c r="H568" s="14"/>
    </row>
    <row r="569" ht="12.75">
      <c r="H569" s="14"/>
    </row>
    <row r="570" ht="12.75">
      <c r="H570" s="14"/>
    </row>
    <row r="571" ht="12.75">
      <c r="H571" s="14"/>
    </row>
    <row r="572" ht="12.75">
      <c r="H572" s="14"/>
    </row>
    <row r="573" ht="12.75">
      <c r="H573" s="14"/>
    </row>
    <row r="574" ht="12.75">
      <c r="H574" s="14"/>
    </row>
    <row r="575" ht="12.75">
      <c r="H575" s="14"/>
    </row>
    <row r="576" ht="12.75">
      <c r="H576" s="14"/>
    </row>
    <row r="577" ht="12.75">
      <c r="H577" s="14"/>
    </row>
    <row r="578" ht="12.75">
      <c r="H578" s="14"/>
    </row>
    <row r="579" ht="12.75">
      <c r="H579" s="14"/>
    </row>
    <row r="580" ht="12.75">
      <c r="H580" s="14"/>
    </row>
    <row r="581" ht="12.75">
      <c r="H581" s="14"/>
    </row>
    <row r="582" ht="12.75">
      <c r="H582" s="14"/>
    </row>
    <row r="583" ht="12.75">
      <c r="H583" s="14"/>
    </row>
    <row r="584" ht="12.75">
      <c r="H584" s="14"/>
    </row>
    <row r="585" ht="12.75">
      <c r="H585" s="14"/>
    </row>
    <row r="586" ht="12.75">
      <c r="H586" s="14"/>
    </row>
    <row r="587" ht="12.75">
      <c r="H587" s="14"/>
    </row>
    <row r="588" ht="12.75">
      <c r="H588" s="14"/>
    </row>
    <row r="589" ht="12.75">
      <c r="H589" s="14"/>
    </row>
    <row r="590" ht="12.75">
      <c r="H590" s="14"/>
    </row>
    <row r="591" ht="12.75">
      <c r="H591" s="14"/>
    </row>
    <row r="592" ht="12.75">
      <c r="H592" s="14"/>
    </row>
    <row r="593" ht="12.75">
      <c r="H593" s="14"/>
    </row>
    <row r="594" ht="12.75">
      <c r="H594" s="14"/>
    </row>
    <row r="595" ht="12.75">
      <c r="H595" s="14"/>
    </row>
    <row r="596" ht="12.75">
      <c r="H596" s="14"/>
    </row>
    <row r="597" ht="12.75">
      <c r="H597" s="14"/>
    </row>
    <row r="598" ht="12.75">
      <c r="H598" s="14"/>
    </row>
    <row r="599" ht="12.75">
      <c r="H599" s="14"/>
    </row>
    <row r="600" ht="12.75">
      <c r="H600" s="14"/>
    </row>
    <row r="601" ht="12.75">
      <c r="H601" s="14"/>
    </row>
    <row r="602" ht="12.75">
      <c r="H602" s="14"/>
    </row>
    <row r="603" ht="12.75">
      <c r="H603" s="14"/>
    </row>
    <row r="604" ht="12.75">
      <c r="H604" s="14"/>
    </row>
    <row r="605" ht="12.75">
      <c r="H605" s="14"/>
    </row>
    <row r="606" ht="12.75">
      <c r="H606" s="14"/>
    </row>
    <row r="607" ht="12.75">
      <c r="H607" s="14"/>
    </row>
    <row r="608" ht="12.75">
      <c r="H608" s="14"/>
    </row>
    <row r="609" ht="12.75">
      <c r="H609" s="14"/>
    </row>
    <row r="610" ht="12.75">
      <c r="H610" s="14"/>
    </row>
    <row r="611" ht="12.75">
      <c r="H611" s="14"/>
    </row>
    <row r="612" ht="12.75">
      <c r="H612" s="14"/>
    </row>
    <row r="613" ht="12.75">
      <c r="H613" s="14"/>
    </row>
    <row r="614" ht="12.75">
      <c r="H614" s="14"/>
    </row>
    <row r="615" ht="12.75">
      <c r="H615" s="14"/>
    </row>
    <row r="616" ht="12.75">
      <c r="H616" s="14"/>
    </row>
    <row r="617" ht="12.75">
      <c r="H617" s="14"/>
    </row>
    <row r="618" ht="12.75">
      <c r="H618" s="14"/>
    </row>
    <row r="619" ht="12.75">
      <c r="H619" s="14"/>
    </row>
    <row r="620" ht="12.75">
      <c r="H620" s="14"/>
    </row>
    <row r="621" ht="12.75">
      <c r="H621" s="14"/>
    </row>
    <row r="622" ht="12.75">
      <c r="H622" s="14"/>
    </row>
    <row r="623" ht="12.75">
      <c r="H623" s="14"/>
    </row>
    <row r="624" ht="12.75">
      <c r="H624" s="14"/>
    </row>
    <row r="625" ht="12.75">
      <c r="H625" s="14"/>
    </row>
    <row r="626" ht="12.75">
      <c r="H626" s="14"/>
    </row>
    <row r="627" ht="12.75">
      <c r="H627" s="14"/>
    </row>
    <row r="628" ht="12.75">
      <c r="H628" s="14"/>
    </row>
    <row r="629" ht="12.75">
      <c r="H629" s="14"/>
    </row>
    <row r="630" ht="12.75">
      <c r="H630" s="14"/>
    </row>
    <row r="631" ht="12.75">
      <c r="H631" s="14"/>
    </row>
    <row r="632" ht="12.75">
      <c r="H632" s="14"/>
    </row>
    <row r="633" ht="12.75">
      <c r="H633" s="14"/>
    </row>
    <row r="634" ht="12.75">
      <c r="H634" s="14"/>
    </row>
    <row r="635" ht="12.75">
      <c r="H635" s="14"/>
    </row>
    <row r="636" ht="12.75">
      <c r="H636" s="14"/>
    </row>
    <row r="637" ht="12.75">
      <c r="H637" s="14"/>
    </row>
    <row r="638" ht="12.75">
      <c r="H638" s="14"/>
    </row>
    <row r="639" ht="12.75">
      <c r="H639" s="14"/>
    </row>
    <row r="640" ht="12.75">
      <c r="H640" s="14"/>
    </row>
    <row r="641" ht="12.75">
      <c r="H641" s="14"/>
    </row>
    <row r="642" ht="12.75">
      <c r="H642" s="14"/>
    </row>
    <row r="643" ht="12.75">
      <c r="H643" s="14"/>
    </row>
    <row r="644" ht="12.75">
      <c r="H644" s="14"/>
    </row>
    <row r="645" ht="12.75">
      <c r="H645" s="14"/>
    </row>
    <row r="646" ht="12.75">
      <c r="H646" s="14"/>
    </row>
    <row r="647" ht="12.75">
      <c r="H647" s="14"/>
    </row>
    <row r="648" ht="12.75">
      <c r="H648" s="14"/>
    </row>
    <row r="649" ht="12.75">
      <c r="H649" s="14"/>
    </row>
    <row r="650" ht="12.75">
      <c r="H650" s="14"/>
    </row>
    <row r="651" ht="12.75">
      <c r="H651" s="14"/>
    </row>
    <row r="652" ht="12.75">
      <c r="H652" s="14"/>
    </row>
    <row r="653" ht="12.75">
      <c r="H653" s="14"/>
    </row>
    <row r="654" ht="12.75">
      <c r="H654" s="14"/>
    </row>
    <row r="655" ht="12.75">
      <c r="H655" s="14"/>
    </row>
    <row r="656" ht="12.75">
      <c r="H656" s="14"/>
    </row>
    <row r="657" ht="12.75">
      <c r="H657" s="14"/>
    </row>
    <row r="658" ht="12.75">
      <c r="H658" s="14"/>
    </row>
    <row r="659" ht="12.75">
      <c r="H659" s="14"/>
    </row>
    <row r="660" ht="12.75">
      <c r="H660" s="14"/>
    </row>
    <row r="661" ht="12.75">
      <c r="H661" s="14"/>
    </row>
    <row r="662" ht="12.75">
      <c r="H662" s="14"/>
    </row>
    <row r="663" ht="12.75">
      <c r="H663" s="14"/>
    </row>
    <row r="664" ht="12.75">
      <c r="H664" s="14"/>
    </row>
    <row r="665" ht="12.75">
      <c r="H665" s="14"/>
    </row>
    <row r="666" ht="12.75">
      <c r="H666" s="14"/>
    </row>
    <row r="667" ht="12.75">
      <c r="H667" s="14"/>
    </row>
    <row r="668" ht="12.75">
      <c r="H668" s="14"/>
    </row>
    <row r="669" ht="12.75">
      <c r="H669" s="14"/>
    </row>
    <row r="670" ht="12.75">
      <c r="H670" s="14"/>
    </row>
    <row r="671" ht="12.75">
      <c r="H671" s="14"/>
    </row>
    <row r="672" ht="12.75">
      <c r="H672" s="14"/>
    </row>
    <row r="673" ht="12.75">
      <c r="H673" s="14"/>
    </row>
    <row r="674" ht="12.75">
      <c r="H674" s="14"/>
    </row>
    <row r="675" ht="12.75">
      <c r="H675" s="14"/>
    </row>
    <row r="676" ht="12.75">
      <c r="H676" s="14"/>
    </row>
    <row r="677" ht="12.75">
      <c r="H677" s="14"/>
    </row>
    <row r="678" ht="12.75">
      <c r="H678" s="14"/>
    </row>
    <row r="679" ht="12.75">
      <c r="H679" s="14"/>
    </row>
    <row r="680" ht="12.75">
      <c r="H680" s="14"/>
    </row>
    <row r="681" ht="12.75">
      <c r="H681" s="14"/>
    </row>
    <row r="682" ht="12.75">
      <c r="H682" s="14"/>
    </row>
    <row r="683" ht="12.75">
      <c r="H683" s="14"/>
    </row>
    <row r="684" ht="12.75">
      <c r="H684" s="14"/>
    </row>
    <row r="685" ht="12.75">
      <c r="H685" s="14"/>
    </row>
    <row r="686" ht="12.75">
      <c r="H686" s="14"/>
    </row>
    <row r="687" ht="12.75">
      <c r="H687" s="14"/>
    </row>
    <row r="688" ht="12.75">
      <c r="H688" s="14"/>
    </row>
    <row r="689" ht="12.75">
      <c r="H689" s="14"/>
    </row>
    <row r="690" ht="12.75">
      <c r="H690" s="14"/>
    </row>
    <row r="691" ht="12.75">
      <c r="H691" s="14"/>
    </row>
    <row r="692" ht="12.75">
      <c r="H692" s="14"/>
    </row>
    <row r="693" ht="12.75">
      <c r="H693" s="14"/>
    </row>
    <row r="694" ht="12.75">
      <c r="H694" s="14"/>
    </row>
    <row r="695" ht="12.75">
      <c r="H695" s="14"/>
    </row>
    <row r="696" ht="12.75">
      <c r="H696" s="14"/>
    </row>
    <row r="697" ht="12.75">
      <c r="H697" s="14"/>
    </row>
    <row r="698" ht="12.75">
      <c r="H698" s="14"/>
    </row>
    <row r="699" ht="12.75">
      <c r="H699" s="14"/>
    </row>
    <row r="700" ht="12.75">
      <c r="H700" s="14"/>
    </row>
    <row r="701" ht="12.75">
      <c r="H701" s="14"/>
    </row>
    <row r="702" ht="12.75">
      <c r="H702" s="14"/>
    </row>
    <row r="703" ht="12.75">
      <c r="H703" s="14"/>
    </row>
    <row r="704" ht="12.75">
      <c r="H704" s="14"/>
    </row>
    <row r="705" ht="12.75">
      <c r="H705" s="14"/>
    </row>
    <row r="706" ht="12.75">
      <c r="H706" s="14"/>
    </row>
    <row r="707" ht="12.75">
      <c r="H707" s="14"/>
    </row>
    <row r="708" ht="12.75">
      <c r="H708" s="14"/>
    </row>
    <row r="709" ht="12.75">
      <c r="H709" s="14"/>
    </row>
    <row r="710" ht="12.75">
      <c r="H710" s="14"/>
    </row>
    <row r="711" ht="12.75">
      <c r="H711" s="14"/>
    </row>
    <row r="712" ht="12.75">
      <c r="H712" s="14"/>
    </row>
    <row r="713" ht="12.75">
      <c r="H713" s="14"/>
    </row>
    <row r="714" ht="12.75">
      <c r="H714" s="14"/>
    </row>
    <row r="715" ht="12.75">
      <c r="H715" s="14"/>
    </row>
    <row r="716" ht="12.75">
      <c r="H716" s="14"/>
    </row>
    <row r="717" ht="12.75">
      <c r="H717" s="14"/>
    </row>
    <row r="718" ht="12.75">
      <c r="H718" s="14"/>
    </row>
    <row r="719" ht="12.75">
      <c r="H719" s="14"/>
    </row>
    <row r="720" ht="12.75">
      <c r="H720" s="14"/>
    </row>
    <row r="721" ht="12.75">
      <c r="H721" s="14"/>
    </row>
    <row r="722" ht="12.75">
      <c r="H722" s="14"/>
    </row>
    <row r="723" ht="12.75">
      <c r="H723" s="14"/>
    </row>
    <row r="724" ht="12.75">
      <c r="H724" s="14"/>
    </row>
    <row r="725" ht="12.75">
      <c r="H725" s="14"/>
    </row>
    <row r="726" ht="12.75">
      <c r="H726" s="14"/>
    </row>
    <row r="727" ht="12.75">
      <c r="H727" s="14"/>
    </row>
    <row r="728" ht="12.75">
      <c r="H728" s="14"/>
    </row>
    <row r="729" ht="12.75">
      <c r="H729" s="14"/>
    </row>
    <row r="730" ht="12.75">
      <c r="H730" s="14"/>
    </row>
    <row r="731" ht="12.75">
      <c r="H731" s="14"/>
    </row>
    <row r="732" ht="12.75">
      <c r="H732" s="14"/>
    </row>
    <row r="733" ht="12.75">
      <c r="H733" s="14"/>
    </row>
    <row r="734" ht="12.75">
      <c r="H734" s="14"/>
    </row>
    <row r="735" ht="12.75">
      <c r="H735" s="14"/>
    </row>
    <row r="736" ht="12.75">
      <c r="H736" s="14"/>
    </row>
    <row r="737" ht="12.75">
      <c r="H737" s="14"/>
    </row>
    <row r="738" ht="12.75">
      <c r="H738" s="14"/>
    </row>
    <row r="739" ht="12.75">
      <c r="H739" s="14"/>
    </row>
  </sheetData>
  <sheetProtection password="CA0B" sheet="1" objects="1" scenarios="1" selectLockedCells="1" selectUnlockedCells="1"/>
  <mergeCells count="2">
    <mergeCell ref="C5:E5"/>
    <mergeCell ref="B115:C115"/>
  </mergeCells>
  <printOptions horizontalCentered="1"/>
  <pageMargins left="0.31496062992125984" right="0.11811023622047245" top="0.5118110236220472" bottom="0.5118110236220472" header="0.5118110236220472" footer="0.5118110236220472"/>
  <pageSetup orientation="portrait" scale="73" r:id="rId3"/>
  <headerFooter alignWithMargins="0">
    <oddHeader>&amp;LSHOQERIA"ALFA"SHA
VRISERA-GJIROKASTER
NIPT J62903630D</oddHeader>
    <oddFooter>&amp;LFINANCIERI
BENARD PULA&amp;RDREJTORI    
KRISTO NACI</oddFooter>
  </headerFooter>
  <rowBreaks count="3" manualBreakCount="3">
    <brk id="52" min="1" max="7" man="1"/>
    <brk id="108" min="1" max="7" man="1"/>
    <brk id="154" min="1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27"/>
  <sheetViews>
    <sheetView workbookViewId="0" topLeftCell="A1">
      <selection activeCell="D28" sqref="D28"/>
    </sheetView>
  </sheetViews>
  <sheetFormatPr defaultColWidth="9.140625" defaultRowHeight="12.75"/>
  <cols>
    <col min="1" max="1" width="16.8515625" style="0" customWidth="1"/>
    <col min="2" max="2" width="58.57421875" style="0" customWidth="1"/>
    <col min="3" max="3" width="16.7109375" style="0" bestFit="1" customWidth="1"/>
    <col min="4" max="4" width="23.57421875" style="117" bestFit="1" customWidth="1"/>
    <col min="5" max="5" width="22.28125" style="118" bestFit="1" customWidth="1"/>
    <col min="7" max="7" width="18.140625" style="27" bestFit="1" customWidth="1"/>
    <col min="8" max="8" width="9.8515625" style="0" customWidth="1"/>
    <col min="9" max="9" width="13.421875" style="0" bestFit="1" customWidth="1"/>
  </cols>
  <sheetData>
    <row r="1" ht="13.5" thickBot="1"/>
    <row r="2" spans="1:5" ht="14.25" thickBot="1" thickTop="1">
      <c r="A2" s="24" t="s">
        <v>449</v>
      </c>
      <c r="B2" s="24" t="s">
        <v>450</v>
      </c>
      <c r="C2" s="24" t="s">
        <v>451</v>
      </c>
      <c r="D2" s="25" t="s">
        <v>291</v>
      </c>
      <c r="E2" s="26" t="s">
        <v>155</v>
      </c>
    </row>
    <row r="3" spans="1:5" ht="13.5" thickTop="1">
      <c r="A3" s="28" t="s">
        <v>418</v>
      </c>
      <c r="B3" s="29" t="s">
        <v>452</v>
      </c>
      <c r="C3" s="30"/>
      <c r="D3" s="31"/>
      <c r="E3" s="32"/>
    </row>
    <row r="4" spans="1:5" ht="12.75">
      <c r="A4" s="33">
        <v>1</v>
      </c>
      <c r="B4" s="34" t="s">
        <v>453</v>
      </c>
      <c r="C4" s="35"/>
      <c r="D4" s="36"/>
      <c r="E4" s="37"/>
    </row>
    <row r="5" spans="1:5" ht="12.75">
      <c r="A5" s="33"/>
      <c r="B5" s="34" t="s">
        <v>454</v>
      </c>
      <c r="C5" s="38">
        <v>50</v>
      </c>
      <c r="D5" s="36">
        <f>D6+D7</f>
        <v>0</v>
      </c>
      <c r="E5" s="37"/>
    </row>
    <row r="6" spans="1:5" ht="12.75">
      <c r="A6" s="33"/>
      <c r="B6" s="34" t="s">
        <v>455</v>
      </c>
      <c r="C6" s="38">
        <v>503</v>
      </c>
      <c r="D6" s="36"/>
      <c r="E6" s="37"/>
    </row>
    <row r="7" spans="1:5" ht="12.75">
      <c r="A7" s="33"/>
      <c r="B7" s="34" t="s">
        <v>456</v>
      </c>
      <c r="C7" s="38">
        <v>504</v>
      </c>
      <c r="D7" s="36"/>
      <c r="E7" s="37"/>
    </row>
    <row r="8" spans="1:5" ht="12.75">
      <c r="A8" s="33"/>
      <c r="B8" s="34" t="s">
        <v>457</v>
      </c>
      <c r="C8" s="38">
        <v>51</v>
      </c>
      <c r="D8" s="36">
        <f>D9+D12</f>
        <v>160425785.57999998</v>
      </c>
      <c r="E8" s="39">
        <f>E9+E12</f>
        <v>103485110</v>
      </c>
    </row>
    <row r="9" spans="1:5" ht="12.75">
      <c r="A9" s="33"/>
      <c r="B9" s="34" t="s">
        <v>458</v>
      </c>
      <c r="C9" s="38">
        <v>511</v>
      </c>
      <c r="D9" s="36"/>
      <c r="E9" s="37"/>
    </row>
    <row r="10" spans="1:5" ht="12.75">
      <c r="A10" s="33"/>
      <c r="B10" s="40" t="s">
        <v>459</v>
      </c>
      <c r="C10" s="38">
        <v>5111</v>
      </c>
      <c r="D10" s="36"/>
      <c r="E10" s="37"/>
    </row>
    <row r="11" spans="1:5" ht="12.75">
      <c r="A11" s="33"/>
      <c r="B11" s="40" t="s">
        <v>460</v>
      </c>
      <c r="C11" s="38">
        <v>5114</v>
      </c>
      <c r="D11" s="36"/>
      <c r="E11" s="37"/>
    </row>
    <row r="12" spans="1:5" ht="12.75">
      <c r="A12" s="33"/>
      <c r="B12" s="34" t="s">
        <v>461</v>
      </c>
      <c r="C12" s="38">
        <v>512</v>
      </c>
      <c r="D12" s="41">
        <f>+D13+D14</f>
        <v>160425785.57999998</v>
      </c>
      <c r="E12" s="42">
        <f>+E13+E14</f>
        <v>103485110</v>
      </c>
    </row>
    <row r="13" spans="1:5" ht="12.75">
      <c r="A13" s="33"/>
      <c r="B13" s="40" t="s">
        <v>462</v>
      </c>
      <c r="C13" s="38">
        <v>5121</v>
      </c>
      <c r="D13" s="43">
        <f>75548774+67167913.58+17709098</f>
        <v>160425785.57999998</v>
      </c>
      <c r="E13" s="43">
        <v>103485110</v>
      </c>
    </row>
    <row r="14" spans="1:5" ht="12.75">
      <c r="A14" s="33"/>
      <c r="B14" s="40" t="s">
        <v>463</v>
      </c>
      <c r="C14" s="38">
        <v>5122</v>
      </c>
      <c r="D14" s="43"/>
      <c r="E14" s="37"/>
    </row>
    <row r="15" spans="1:5" ht="12.75">
      <c r="A15" s="33"/>
      <c r="B15" s="34" t="s">
        <v>464</v>
      </c>
      <c r="C15" s="38">
        <v>53</v>
      </c>
      <c r="D15" s="36">
        <f>D16+D17</f>
        <v>8768214</v>
      </c>
      <c r="E15" s="39">
        <f>E16+E17</f>
        <v>26193311</v>
      </c>
    </row>
    <row r="16" spans="1:5" ht="12.75">
      <c r="A16" s="33"/>
      <c r="B16" s="40" t="s">
        <v>465</v>
      </c>
      <c r="C16" s="38">
        <v>5311</v>
      </c>
      <c r="D16" s="44">
        <f>222558+8545656</f>
        <v>8768214</v>
      </c>
      <c r="E16" s="44">
        <v>26193311</v>
      </c>
    </row>
    <row r="17" spans="1:5" ht="12.75">
      <c r="A17" s="33"/>
      <c r="B17" s="40" t="s">
        <v>466</v>
      </c>
      <c r="C17" s="38">
        <v>5340</v>
      </c>
      <c r="D17" s="44"/>
      <c r="E17" s="37"/>
    </row>
    <row r="18" spans="1:5" ht="12.75">
      <c r="A18" s="33"/>
      <c r="B18" s="34" t="s">
        <v>467</v>
      </c>
      <c r="C18" s="38">
        <v>532</v>
      </c>
      <c r="D18" s="45">
        <f>D19+D20+D21</f>
        <v>637531</v>
      </c>
      <c r="E18" s="46">
        <f>E19+E20+E21</f>
        <v>588587</v>
      </c>
    </row>
    <row r="19" spans="1:5" ht="12.75">
      <c r="A19" s="33"/>
      <c r="B19" s="34" t="s">
        <v>468</v>
      </c>
      <c r="C19" s="38">
        <v>5321</v>
      </c>
      <c r="D19" s="44">
        <v>637531</v>
      </c>
      <c r="E19" s="44">
        <v>588587</v>
      </c>
    </row>
    <row r="20" spans="1:5" ht="12.75">
      <c r="A20" s="33"/>
      <c r="B20" s="34" t="s">
        <v>469</v>
      </c>
      <c r="C20" s="38">
        <v>5322</v>
      </c>
      <c r="D20" s="44"/>
      <c r="E20" s="37"/>
    </row>
    <row r="21" spans="1:5" ht="12.75">
      <c r="A21" s="33"/>
      <c r="B21" s="34" t="s">
        <v>470</v>
      </c>
      <c r="C21" s="38">
        <v>5323</v>
      </c>
      <c r="D21" s="44"/>
      <c r="E21" s="37"/>
    </row>
    <row r="22" spans="1:5" ht="12.75">
      <c r="A22" s="33"/>
      <c r="B22" s="34" t="s">
        <v>471</v>
      </c>
      <c r="C22" s="38">
        <v>54</v>
      </c>
      <c r="D22" s="44">
        <f>D23+D26</f>
        <v>0</v>
      </c>
      <c r="E22" s="47">
        <f>E23+E26</f>
        <v>0</v>
      </c>
    </row>
    <row r="23" spans="1:5" ht="12.75">
      <c r="A23" s="33"/>
      <c r="B23" s="34" t="s">
        <v>472</v>
      </c>
      <c r="C23" s="38">
        <v>541</v>
      </c>
      <c r="D23" s="44">
        <f>D24+D25</f>
        <v>0</v>
      </c>
      <c r="E23" s="47">
        <f>E24+E25</f>
        <v>0</v>
      </c>
    </row>
    <row r="24" spans="1:5" ht="19.5">
      <c r="A24" s="48" t="s">
        <v>473</v>
      </c>
      <c r="B24" s="40" t="s">
        <v>474</v>
      </c>
      <c r="C24" s="38">
        <v>5411</v>
      </c>
      <c r="D24" s="44"/>
      <c r="E24" s="37"/>
    </row>
    <row r="25" spans="1:5" ht="12.75">
      <c r="A25" s="33"/>
      <c r="B25" s="40" t="s">
        <v>475</v>
      </c>
      <c r="C25" s="38">
        <v>5412</v>
      </c>
      <c r="D25" s="44"/>
      <c r="E25" s="37"/>
    </row>
    <row r="26" spans="1:5" ht="12.75">
      <c r="A26" s="33"/>
      <c r="B26" s="34" t="s">
        <v>476</v>
      </c>
      <c r="C26" s="38">
        <v>543</v>
      </c>
      <c r="D26" s="44">
        <f>D27+D28</f>
        <v>0</v>
      </c>
      <c r="E26" s="47">
        <f>E27+E28</f>
        <v>0</v>
      </c>
    </row>
    <row r="27" spans="1:5" ht="12.75">
      <c r="A27" s="33"/>
      <c r="B27" s="34" t="s">
        <v>477</v>
      </c>
      <c r="C27" s="38">
        <v>5431</v>
      </c>
      <c r="D27" s="44"/>
      <c r="E27" s="37"/>
    </row>
    <row r="28" spans="1:5" ht="12.75">
      <c r="A28" s="33"/>
      <c r="B28" s="34" t="s">
        <v>478</v>
      </c>
      <c r="C28" s="38">
        <v>5432</v>
      </c>
      <c r="D28" s="44"/>
      <c r="E28" s="37"/>
    </row>
    <row r="29" spans="1:5" ht="12.75">
      <c r="A29" s="33"/>
      <c r="B29" s="34" t="s">
        <v>479</v>
      </c>
      <c r="C29" s="38">
        <v>590</v>
      </c>
      <c r="D29" s="44">
        <f>D30+D31+D32</f>
        <v>0</v>
      </c>
      <c r="E29" s="47">
        <f>E30+E31+E32</f>
        <v>0</v>
      </c>
    </row>
    <row r="30" spans="1:5" ht="12.75">
      <c r="A30" s="33"/>
      <c r="B30" s="34" t="s">
        <v>480</v>
      </c>
      <c r="C30" s="38">
        <v>5903</v>
      </c>
      <c r="D30" s="44"/>
      <c r="E30" s="37"/>
    </row>
    <row r="31" spans="1:5" ht="12.75">
      <c r="A31" s="33"/>
      <c r="B31" s="34" t="s">
        <v>481</v>
      </c>
      <c r="C31" s="38">
        <v>5905</v>
      </c>
      <c r="D31" s="44"/>
      <c r="E31" s="37"/>
    </row>
    <row r="32" spans="1:5" ht="12.75">
      <c r="A32" s="33"/>
      <c r="B32" s="34" t="s">
        <v>482</v>
      </c>
      <c r="C32" s="38">
        <v>5999</v>
      </c>
      <c r="D32" s="44"/>
      <c r="E32" s="37"/>
    </row>
    <row r="33" spans="1:5" ht="12.75">
      <c r="A33" s="33"/>
      <c r="B33" s="34" t="s">
        <v>483</v>
      </c>
      <c r="C33" s="38">
        <v>55</v>
      </c>
      <c r="D33" s="44">
        <f>D34+D36+D38+D39</f>
        <v>0</v>
      </c>
      <c r="E33" s="47">
        <f>E34+E36+E38+E39</f>
        <v>0</v>
      </c>
    </row>
    <row r="34" spans="1:5" ht="12.75">
      <c r="A34" s="33"/>
      <c r="B34" s="34" t="s">
        <v>484</v>
      </c>
      <c r="C34" s="38">
        <v>551</v>
      </c>
      <c r="D34" s="44">
        <f>D35</f>
        <v>0</v>
      </c>
      <c r="E34" s="47">
        <f>E35</f>
        <v>0</v>
      </c>
    </row>
    <row r="35" spans="1:5" ht="12.75">
      <c r="A35" s="33"/>
      <c r="B35" s="34" t="s">
        <v>485</v>
      </c>
      <c r="C35" s="38">
        <v>5511</v>
      </c>
      <c r="D35" s="44"/>
      <c r="E35" s="37"/>
    </row>
    <row r="36" spans="1:5" ht="12.75">
      <c r="A36" s="33"/>
      <c r="B36" s="34" t="s">
        <v>486</v>
      </c>
      <c r="C36" s="38">
        <v>590</v>
      </c>
      <c r="D36" s="44">
        <f>D37</f>
        <v>0</v>
      </c>
      <c r="E36" s="47">
        <f>E37</f>
        <v>0</v>
      </c>
    </row>
    <row r="37" spans="1:5" ht="12.75">
      <c r="A37" s="33"/>
      <c r="B37" s="34" t="s">
        <v>487</v>
      </c>
      <c r="C37" s="38">
        <v>599</v>
      </c>
      <c r="D37" s="44"/>
      <c r="E37" s="37"/>
    </row>
    <row r="38" spans="1:5" ht="12.75">
      <c r="A38" s="33"/>
      <c r="B38" s="34" t="s">
        <v>488</v>
      </c>
      <c r="C38" s="38">
        <v>552</v>
      </c>
      <c r="D38" s="44"/>
      <c r="E38" s="37"/>
    </row>
    <row r="39" spans="1:5" ht="13.5" thickBot="1">
      <c r="A39" s="49"/>
      <c r="B39" s="49" t="s">
        <v>491</v>
      </c>
      <c r="C39" s="415">
        <v>559</v>
      </c>
      <c r="D39" s="51"/>
      <c r="E39" s="52"/>
    </row>
    <row r="40" spans="1:5" ht="14.25" thickBot="1" thickTop="1">
      <c r="A40" s="53"/>
      <c r="B40" s="54" t="s">
        <v>492</v>
      </c>
      <c r="C40" s="55"/>
      <c r="D40" s="56">
        <f>D5+D8+D15+D22+D29+D33+D18</f>
        <v>169831530.57999998</v>
      </c>
      <c r="E40" s="56">
        <f>E5+E8+E15+E22+E29+E33+E18</f>
        <v>130267008</v>
      </c>
    </row>
    <row r="41" spans="1:5" ht="13.5" thickTop="1">
      <c r="A41" s="57">
        <v>2</v>
      </c>
      <c r="B41" s="57" t="s">
        <v>493</v>
      </c>
      <c r="C41" s="58"/>
      <c r="D41" s="59"/>
      <c r="E41" s="60"/>
    </row>
    <row r="42" spans="1:5" ht="12.75">
      <c r="A42" s="34"/>
      <c r="B42" s="34" t="s">
        <v>494</v>
      </c>
      <c r="C42" s="38">
        <v>411</v>
      </c>
      <c r="D42" s="44">
        <f>374066952+1505303</f>
        <v>375572255</v>
      </c>
      <c r="E42" s="44">
        <v>583964002</v>
      </c>
    </row>
    <row r="43" spans="1:5" ht="12.75">
      <c r="A43" s="34"/>
      <c r="B43" s="61" t="s">
        <v>495</v>
      </c>
      <c r="C43" s="62" t="s">
        <v>496</v>
      </c>
      <c r="D43" s="44">
        <v>13681643</v>
      </c>
      <c r="E43" s="44">
        <v>13681643</v>
      </c>
    </row>
    <row r="44" spans="1:5" ht="12.75">
      <c r="A44" s="34"/>
      <c r="B44" s="34" t="s">
        <v>497</v>
      </c>
      <c r="C44" s="38">
        <v>414</v>
      </c>
      <c r="D44" s="44"/>
      <c r="E44" s="44"/>
    </row>
    <row r="45" spans="1:5" ht="12.75">
      <c r="A45" s="34"/>
      <c r="B45" s="34" t="s">
        <v>498</v>
      </c>
      <c r="C45" s="38">
        <v>416</v>
      </c>
      <c r="D45" s="44"/>
      <c r="E45" s="44"/>
    </row>
    <row r="46" spans="1:5" ht="12.75">
      <c r="A46" s="34"/>
      <c r="B46" s="34" t="s">
        <v>499</v>
      </c>
      <c r="C46" s="38">
        <v>418</v>
      </c>
      <c r="D46" s="44"/>
      <c r="E46" s="44"/>
    </row>
    <row r="47" spans="1:5" ht="12.75">
      <c r="A47" s="34"/>
      <c r="B47" s="63" t="s">
        <v>500</v>
      </c>
      <c r="C47" s="38">
        <v>467</v>
      </c>
      <c r="D47" s="44"/>
      <c r="E47" s="44"/>
    </row>
    <row r="48" spans="1:5" ht="12.75">
      <c r="A48" s="34"/>
      <c r="B48" s="34" t="s">
        <v>501</v>
      </c>
      <c r="C48" s="38">
        <v>465</v>
      </c>
      <c r="D48" s="44"/>
      <c r="E48" s="44"/>
    </row>
    <row r="49" spans="1:5" ht="12.75">
      <c r="A49" s="34"/>
      <c r="B49" s="34" t="s">
        <v>502</v>
      </c>
      <c r="C49" s="38">
        <v>444</v>
      </c>
      <c r="D49" s="44"/>
      <c r="E49" s="44">
        <v>1407641</v>
      </c>
    </row>
    <row r="50" spans="1:7" ht="12.75">
      <c r="A50" s="34"/>
      <c r="B50" s="34" t="s">
        <v>503</v>
      </c>
      <c r="C50" s="38">
        <v>442</v>
      </c>
      <c r="D50" s="44"/>
      <c r="E50" s="44"/>
      <c r="G50" s="64"/>
    </row>
    <row r="51" spans="1:7" ht="12.75">
      <c r="A51" s="34"/>
      <c r="B51" s="34" t="s">
        <v>504</v>
      </c>
      <c r="C51" s="38">
        <v>443</v>
      </c>
      <c r="D51" s="44">
        <v>222507.5</v>
      </c>
      <c r="E51" s="44"/>
      <c r="G51" s="64"/>
    </row>
    <row r="52" spans="1:5" ht="12.75">
      <c r="A52" s="34"/>
      <c r="B52" s="34" t="s">
        <v>505</v>
      </c>
      <c r="C52" s="38">
        <v>449</v>
      </c>
      <c r="D52" s="44"/>
      <c r="E52" s="44"/>
    </row>
    <row r="53" spans="1:5" ht="12.75">
      <c r="A53" s="34"/>
      <c r="B53" s="34" t="s">
        <v>506</v>
      </c>
      <c r="C53" s="38">
        <v>4454</v>
      </c>
      <c r="D53" s="44">
        <v>16950711</v>
      </c>
      <c r="E53" s="44"/>
    </row>
    <row r="54" spans="1:5" ht="12.75">
      <c r="A54" s="34"/>
      <c r="B54" s="34" t="s">
        <v>507</v>
      </c>
      <c r="C54" s="38">
        <v>447</v>
      </c>
      <c r="D54" s="44"/>
      <c r="E54" s="44"/>
    </row>
    <row r="55" spans="1:5" ht="12.75">
      <c r="A55" s="34"/>
      <c r="B55" s="34" t="s">
        <v>508</v>
      </c>
      <c r="C55" s="38">
        <v>448</v>
      </c>
      <c r="D55" s="44"/>
      <c r="E55" s="44"/>
    </row>
    <row r="56" spans="1:5" ht="12.75">
      <c r="A56" s="34"/>
      <c r="B56" s="34" t="s">
        <v>509</v>
      </c>
      <c r="C56" s="38">
        <v>451</v>
      </c>
      <c r="D56" s="44"/>
      <c r="E56" s="44"/>
    </row>
    <row r="57" spans="1:5" ht="12.75">
      <c r="A57" s="34"/>
      <c r="B57" s="34" t="s">
        <v>510</v>
      </c>
      <c r="C57" s="38">
        <v>455</v>
      </c>
      <c r="D57" s="44"/>
      <c r="E57" s="44"/>
    </row>
    <row r="58" spans="1:5" ht="12.75">
      <c r="A58" s="34"/>
      <c r="B58" s="34" t="s">
        <v>511</v>
      </c>
      <c r="C58" s="38">
        <v>456</v>
      </c>
      <c r="D58" s="44"/>
      <c r="E58" s="44"/>
    </row>
    <row r="59" spans="1:5" ht="12.75">
      <c r="A59" s="34"/>
      <c r="B59" s="34" t="s">
        <v>512</v>
      </c>
      <c r="C59" s="38">
        <v>401</v>
      </c>
      <c r="D59" s="44"/>
      <c r="E59" s="44"/>
    </row>
    <row r="60" spans="1:5" ht="12.75">
      <c r="A60" s="34"/>
      <c r="B60" s="34" t="s">
        <v>513</v>
      </c>
      <c r="C60" s="38">
        <v>404</v>
      </c>
      <c r="D60" s="44"/>
      <c r="E60" s="44"/>
    </row>
    <row r="61" spans="1:5" ht="12.75">
      <c r="A61" s="34"/>
      <c r="B61" s="34" t="s">
        <v>514</v>
      </c>
      <c r="C61" s="38">
        <v>469</v>
      </c>
      <c r="D61" s="44"/>
      <c r="E61" s="44"/>
    </row>
    <row r="62" spans="1:5" ht="12.75">
      <c r="A62" s="34"/>
      <c r="B62" s="34" t="s">
        <v>515</v>
      </c>
      <c r="C62" s="38">
        <v>460</v>
      </c>
      <c r="D62" s="44"/>
      <c r="E62" s="44"/>
    </row>
    <row r="63" spans="1:5" ht="12.75">
      <c r="A63" s="65"/>
      <c r="B63" s="65" t="s">
        <v>404</v>
      </c>
      <c r="C63" s="66">
        <v>476</v>
      </c>
      <c r="D63" s="67"/>
      <c r="E63" s="67"/>
    </row>
    <row r="64" spans="1:5" ht="13.5" thickBot="1">
      <c r="A64" s="49"/>
      <c r="B64" s="49" t="s">
        <v>516</v>
      </c>
      <c r="C64" s="50">
        <v>49</v>
      </c>
      <c r="D64" s="51"/>
      <c r="E64" s="51"/>
    </row>
    <row r="65" spans="1:5" ht="14.25" thickBot="1" thickTop="1">
      <c r="A65" s="53"/>
      <c r="B65" s="53" t="s">
        <v>517</v>
      </c>
      <c r="C65" s="55"/>
      <c r="D65" s="56">
        <f>SUM(D42:D64)</f>
        <v>406427116.5</v>
      </c>
      <c r="E65" s="56">
        <f>SUM(E41:E64)</f>
        <v>599053286</v>
      </c>
    </row>
    <row r="66" spans="1:5" ht="14.25" thickBot="1" thickTop="1">
      <c r="A66" s="54">
        <v>3</v>
      </c>
      <c r="B66" s="54" t="s">
        <v>365</v>
      </c>
      <c r="C66" s="69"/>
      <c r="D66" s="70"/>
      <c r="E66" s="71"/>
    </row>
    <row r="67" spans="1:7" ht="13.5" thickTop="1">
      <c r="A67" s="57"/>
      <c r="B67" s="57" t="s">
        <v>518</v>
      </c>
      <c r="C67" s="58">
        <v>31</v>
      </c>
      <c r="D67" s="59">
        <f>D68</f>
        <v>367506881</v>
      </c>
      <c r="E67" s="59">
        <f>E68</f>
        <v>194203946</v>
      </c>
      <c r="G67" s="27">
        <f aca="true" t="shared" si="0" ref="G67:G84">D67-E67</f>
        <v>173302935</v>
      </c>
    </row>
    <row r="68" spans="1:9" ht="12.75">
      <c r="A68" s="34"/>
      <c r="B68" s="63" t="s">
        <v>519</v>
      </c>
      <c r="C68" s="38">
        <v>311</v>
      </c>
      <c r="D68" s="44">
        <v>367506881</v>
      </c>
      <c r="E68" s="44">
        <v>194203946</v>
      </c>
      <c r="G68" s="27">
        <f t="shared" si="0"/>
        <v>173302935</v>
      </c>
      <c r="H68">
        <v>12628077</v>
      </c>
      <c r="I68" s="27">
        <f>G68-H68</f>
        <v>160674858</v>
      </c>
    </row>
    <row r="69" spans="1:9" ht="12.75">
      <c r="A69" s="34"/>
      <c r="B69" s="34" t="s">
        <v>520</v>
      </c>
      <c r="C69" s="38">
        <v>312</v>
      </c>
      <c r="D69" s="45">
        <f>D70+D71+D72+D73+D74</f>
        <v>3210148</v>
      </c>
      <c r="E69" s="45">
        <f>E70+E71+E72+E73+E74</f>
        <v>4241617</v>
      </c>
      <c r="G69" s="27">
        <f t="shared" si="0"/>
        <v>-1031469</v>
      </c>
      <c r="I69" s="27"/>
    </row>
    <row r="70" spans="1:9" ht="12.75">
      <c r="A70" s="34"/>
      <c r="B70" s="34" t="s">
        <v>521</v>
      </c>
      <c r="C70" s="38">
        <v>3123</v>
      </c>
      <c r="D70" s="44"/>
      <c r="E70" s="44"/>
      <c r="G70" s="27">
        <f t="shared" si="0"/>
        <v>0</v>
      </c>
      <c r="I70" s="27">
        <f aca="true" t="shared" si="1" ref="I70:I85">G70-H70</f>
        <v>0</v>
      </c>
    </row>
    <row r="71" spans="1:9" ht="12.75">
      <c r="A71" s="34"/>
      <c r="B71" s="34" t="s">
        <v>522</v>
      </c>
      <c r="C71" s="38">
        <v>3124</v>
      </c>
      <c r="D71" s="44">
        <v>3210148</v>
      </c>
      <c r="E71" s="44">
        <v>4241617</v>
      </c>
      <c r="G71" s="27">
        <f t="shared" si="0"/>
        <v>-1031469</v>
      </c>
      <c r="H71">
        <v>9889580</v>
      </c>
      <c r="I71" s="27">
        <f>G71+H71</f>
        <v>8858111</v>
      </c>
    </row>
    <row r="72" spans="1:9" ht="12.75">
      <c r="A72" s="34"/>
      <c r="B72" s="34" t="s">
        <v>523</v>
      </c>
      <c r="C72" s="38">
        <v>3125</v>
      </c>
      <c r="D72" s="44"/>
      <c r="E72" s="44"/>
      <c r="G72" s="27">
        <f t="shared" si="0"/>
        <v>0</v>
      </c>
      <c r="I72" s="27">
        <f t="shared" si="1"/>
        <v>0</v>
      </c>
    </row>
    <row r="73" spans="1:9" ht="12.75">
      <c r="A73" s="34"/>
      <c r="B73" s="63" t="s">
        <v>524</v>
      </c>
      <c r="C73" s="38">
        <v>3126</v>
      </c>
      <c r="D73" s="44"/>
      <c r="E73" s="44"/>
      <c r="G73" s="27">
        <f t="shared" si="0"/>
        <v>0</v>
      </c>
      <c r="I73" s="27">
        <f t="shared" si="1"/>
        <v>0</v>
      </c>
    </row>
    <row r="74" spans="1:9" ht="12.75">
      <c r="A74" s="34"/>
      <c r="B74" s="63" t="s">
        <v>525</v>
      </c>
      <c r="C74" s="38">
        <v>3127</v>
      </c>
      <c r="D74" s="44"/>
      <c r="E74" s="44"/>
      <c r="G74" s="27">
        <f t="shared" si="0"/>
        <v>0</v>
      </c>
      <c r="I74" s="27">
        <f t="shared" si="1"/>
        <v>0</v>
      </c>
    </row>
    <row r="75" spans="1:9" ht="12.75">
      <c r="A75" s="34"/>
      <c r="B75" s="34" t="s">
        <v>526</v>
      </c>
      <c r="C75" s="38">
        <v>33</v>
      </c>
      <c r="D75" s="44"/>
      <c r="E75" s="44"/>
      <c r="G75" s="27">
        <f t="shared" si="0"/>
        <v>0</v>
      </c>
      <c r="I75" s="27">
        <f t="shared" si="1"/>
        <v>0</v>
      </c>
    </row>
    <row r="76" spans="1:9" ht="12.75">
      <c r="A76" s="34"/>
      <c r="B76" s="34" t="s">
        <v>527</v>
      </c>
      <c r="C76" s="38">
        <v>331</v>
      </c>
      <c r="D76" s="44"/>
      <c r="E76" s="44"/>
      <c r="G76" s="27">
        <f t="shared" si="0"/>
        <v>0</v>
      </c>
      <c r="I76" s="27">
        <f t="shared" si="1"/>
        <v>0</v>
      </c>
    </row>
    <row r="77" spans="1:9" ht="12.75">
      <c r="A77" s="34"/>
      <c r="B77" s="34" t="s">
        <v>528</v>
      </c>
      <c r="C77" s="38">
        <v>332</v>
      </c>
      <c r="D77" s="44"/>
      <c r="E77" s="44"/>
      <c r="G77" s="27">
        <f t="shared" si="0"/>
        <v>0</v>
      </c>
      <c r="I77" s="27">
        <f t="shared" si="1"/>
        <v>0</v>
      </c>
    </row>
    <row r="78" spans="1:9" ht="12.75">
      <c r="A78" s="34"/>
      <c r="B78" s="34" t="s">
        <v>529</v>
      </c>
      <c r="C78" s="38">
        <v>333</v>
      </c>
      <c r="D78" s="44"/>
      <c r="E78" s="44"/>
      <c r="G78" s="27">
        <f t="shared" si="0"/>
        <v>0</v>
      </c>
      <c r="I78" s="27">
        <f t="shared" si="1"/>
        <v>0</v>
      </c>
    </row>
    <row r="79" spans="1:9" ht="12.75">
      <c r="A79" s="34"/>
      <c r="B79" s="34" t="s">
        <v>530</v>
      </c>
      <c r="C79" s="38">
        <v>393</v>
      </c>
      <c r="D79" s="44"/>
      <c r="E79" s="44"/>
      <c r="G79" s="27">
        <f t="shared" si="0"/>
        <v>0</v>
      </c>
      <c r="I79" s="27">
        <f t="shared" si="1"/>
        <v>0</v>
      </c>
    </row>
    <row r="80" spans="1:9" ht="12.75">
      <c r="A80" s="34"/>
      <c r="B80" s="34" t="s">
        <v>531</v>
      </c>
      <c r="C80" s="38">
        <v>34</v>
      </c>
      <c r="D80" s="36">
        <f>SUM(D81:D84)</f>
        <v>42372931</v>
      </c>
      <c r="E80" s="36">
        <f>SUM(E81:E84)</f>
        <v>31237854</v>
      </c>
      <c r="I80" s="27">
        <f t="shared" si="1"/>
        <v>0</v>
      </c>
    </row>
    <row r="81" spans="1:10" ht="12.75">
      <c r="A81" s="34"/>
      <c r="B81" s="34" t="s">
        <v>532</v>
      </c>
      <c r="C81" s="38">
        <v>341</v>
      </c>
      <c r="D81" s="44">
        <v>42372931</v>
      </c>
      <c r="E81" s="44">
        <v>31237854</v>
      </c>
      <c r="G81" s="27">
        <f t="shared" si="0"/>
        <v>11135077</v>
      </c>
      <c r="H81">
        <v>29612320</v>
      </c>
      <c r="I81" s="27">
        <f>G81+H81</f>
        <v>40747397</v>
      </c>
      <c r="J81" t="s">
        <v>561</v>
      </c>
    </row>
    <row r="82" spans="1:9" ht="12.75">
      <c r="A82" s="34"/>
      <c r="B82" s="34" t="s">
        <v>533</v>
      </c>
      <c r="C82" s="38">
        <v>342</v>
      </c>
      <c r="D82" s="44"/>
      <c r="E82" s="44"/>
      <c r="G82" s="27">
        <f t="shared" si="0"/>
        <v>0</v>
      </c>
      <c r="I82" s="27">
        <f t="shared" si="1"/>
        <v>0</v>
      </c>
    </row>
    <row r="83" spans="1:9" ht="12.75">
      <c r="A83" s="34"/>
      <c r="B83" s="34" t="s">
        <v>534</v>
      </c>
      <c r="C83" s="38">
        <v>347</v>
      </c>
      <c r="D83" s="44"/>
      <c r="E83" s="44"/>
      <c r="G83" s="27">
        <f t="shared" si="0"/>
        <v>0</v>
      </c>
      <c r="I83" s="27">
        <f t="shared" si="1"/>
        <v>0</v>
      </c>
    </row>
    <row r="84" spans="1:9" ht="12.75">
      <c r="A84" s="34"/>
      <c r="B84" s="34" t="s">
        <v>535</v>
      </c>
      <c r="C84" s="38">
        <v>394</v>
      </c>
      <c r="D84" s="44"/>
      <c r="E84" s="44"/>
      <c r="G84" s="27">
        <f t="shared" si="0"/>
        <v>0</v>
      </c>
      <c r="I84" s="27">
        <f t="shared" si="1"/>
        <v>0</v>
      </c>
    </row>
    <row r="85" spans="1:10" ht="12.75">
      <c r="A85" s="34"/>
      <c r="B85" s="34" t="s">
        <v>536</v>
      </c>
      <c r="C85" s="38">
        <v>35</v>
      </c>
      <c r="D85" s="44">
        <v>965420155</v>
      </c>
      <c r="E85" s="438">
        <v>524564555</v>
      </c>
      <c r="G85" s="27">
        <f>D85-E85</f>
        <v>440855600</v>
      </c>
      <c r="H85">
        <v>33204756</v>
      </c>
      <c r="I85" s="27">
        <f t="shared" si="1"/>
        <v>407650844</v>
      </c>
      <c r="J85" s="27">
        <f>I85+I68+I71</f>
        <v>577183813</v>
      </c>
    </row>
    <row r="86" spans="1:7" ht="12.75">
      <c r="A86" s="34"/>
      <c r="B86" s="34" t="s">
        <v>537</v>
      </c>
      <c r="C86" s="38">
        <v>395</v>
      </c>
      <c r="D86" s="44"/>
      <c r="E86" s="44"/>
      <c r="G86" s="64"/>
    </row>
    <row r="87" spans="1:5" ht="12.75">
      <c r="A87" s="34"/>
      <c r="B87" s="34" t="s">
        <v>538</v>
      </c>
      <c r="C87" s="38">
        <v>371</v>
      </c>
      <c r="D87" s="44"/>
      <c r="E87" s="44"/>
    </row>
    <row r="88" spans="1:5" ht="12.75">
      <c r="A88" s="34"/>
      <c r="B88" s="34" t="s">
        <v>539</v>
      </c>
      <c r="C88" s="38">
        <v>372</v>
      </c>
      <c r="D88" s="44"/>
      <c r="E88" s="44"/>
    </row>
    <row r="89" spans="1:5" ht="12.75">
      <c r="A89" s="34"/>
      <c r="B89" s="34" t="s">
        <v>540</v>
      </c>
      <c r="C89" s="38">
        <v>374</v>
      </c>
      <c r="D89" s="44"/>
      <c r="E89" s="44"/>
    </row>
    <row r="90" spans="1:5" ht="12.75">
      <c r="A90" s="34"/>
      <c r="B90" s="63" t="s">
        <v>541</v>
      </c>
      <c r="C90" s="38">
        <v>375</v>
      </c>
      <c r="D90" s="44"/>
      <c r="E90" s="44"/>
    </row>
    <row r="91" spans="1:5" ht="13.5" thickBot="1">
      <c r="A91" s="49"/>
      <c r="B91" s="49" t="s">
        <v>542</v>
      </c>
      <c r="C91" s="50">
        <v>376</v>
      </c>
      <c r="D91" s="51"/>
      <c r="E91" s="51"/>
    </row>
    <row r="92" spans="1:5" ht="14.25" thickBot="1" thickTop="1">
      <c r="A92" s="53"/>
      <c r="B92" s="72" t="s">
        <v>543</v>
      </c>
      <c r="C92" s="73"/>
      <c r="D92" s="74">
        <f>+D67+D76+D80+D85+D69</f>
        <v>1378510115</v>
      </c>
      <c r="E92" s="74">
        <f>+E67+E76+E80+E85+E69</f>
        <v>754247972</v>
      </c>
    </row>
    <row r="93" spans="1:5" ht="14.25" thickBot="1" thickTop="1">
      <c r="A93" s="53">
        <v>4</v>
      </c>
      <c r="B93" s="53" t="s">
        <v>544</v>
      </c>
      <c r="C93" s="55"/>
      <c r="D93" s="56"/>
      <c r="E93" s="75"/>
    </row>
    <row r="94" spans="1:5" ht="14.25" thickBot="1" thickTop="1">
      <c r="A94" s="54">
        <v>5</v>
      </c>
      <c r="B94" s="53" t="s">
        <v>545</v>
      </c>
      <c r="C94" s="55"/>
      <c r="D94" s="70"/>
      <c r="E94" s="71"/>
    </row>
    <row r="95" spans="1:5" ht="13.5" thickTop="1">
      <c r="A95" s="76">
        <v>6</v>
      </c>
      <c r="B95" s="76" t="s">
        <v>546</v>
      </c>
      <c r="C95" s="77"/>
      <c r="D95" s="78"/>
      <c r="E95" s="79"/>
    </row>
    <row r="96" spans="1:5" ht="12.75">
      <c r="A96" s="34"/>
      <c r="B96" s="34" t="s">
        <v>547</v>
      </c>
      <c r="C96" s="38">
        <v>486</v>
      </c>
      <c r="D96" s="44">
        <v>38190231</v>
      </c>
      <c r="E96" s="44">
        <v>19343553</v>
      </c>
    </row>
    <row r="97" spans="1:5" ht="12.75">
      <c r="A97" s="34"/>
      <c r="B97" s="34" t="s">
        <v>548</v>
      </c>
      <c r="C97" s="38">
        <v>481</v>
      </c>
      <c r="D97" s="80"/>
      <c r="E97" s="81"/>
    </row>
    <row r="98" spans="1:5" ht="12.75">
      <c r="A98" s="34"/>
      <c r="B98" s="34" t="s">
        <v>549</v>
      </c>
      <c r="C98" s="38">
        <v>483</v>
      </c>
      <c r="D98" s="44"/>
      <c r="E98" s="61"/>
    </row>
    <row r="99" spans="1:5" ht="13.5" thickBot="1">
      <c r="A99" s="49"/>
      <c r="B99" s="49" t="s">
        <v>550</v>
      </c>
      <c r="C99" s="50">
        <v>487</v>
      </c>
      <c r="D99" s="51"/>
      <c r="E99" s="68"/>
    </row>
    <row r="100" spans="1:7" ht="14.25" thickBot="1" thickTop="1">
      <c r="A100" s="53"/>
      <c r="B100" s="53" t="s">
        <v>551</v>
      </c>
      <c r="C100" s="82"/>
      <c r="D100" s="56">
        <f>SUM(D96:D99)</f>
        <v>38190231</v>
      </c>
      <c r="E100" s="56">
        <f>SUM(E96:E99)</f>
        <v>19343553</v>
      </c>
      <c r="G100" s="83"/>
    </row>
    <row r="101" spans="1:5" ht="16.5" thickBot="1" thickTop="1">
      <c r="A101" s="84"/>
      <c r="B101" s="85" t="s">
        <v>552</v>
      </c>
      <c r="C101" s="86"/>
      <c r="D101" s="56">
        <f>+D40+D65+D92+D100</f>
        <v>1992958993.08</v>
      </c>
      <c r="E101" s="56">
        <f>+E40+E65+E92+E100</f>
        <v>1502911819</v>
      </c>
    </row>
    <row r="102" spans="1:5" ht="14.25" thickTop="1">
      <c r="A102" s="87" t="s">
        <v>421</v>
      </c>
      <c r="B102" s="88" t="s">
        <v>553</v>
      </c>
      <c r="C102" s="89"/>
      <c r="D102" s="59"/>
      <c r="E102" s="60"/>
    </row>
    <row r="103" spans="1:5" ht="12.75">
      <c r="A103" s="34">
        <v>1</v>
      </c>
      <c r="B103" s="34" t="s">
        <v>554</v>
      </c>
      <c r="C103" s="90"/>
      <c r="D103" s="44"/>
      <c r="E103" s="61"/>
    </row>
    <row r="104" spans="1:7" ht="12.75">
      <c r="A104" s="34"/>
      <c r="B104" s="34" t="s">
        <v>555</v>
      </c>
      <c r="C104" s="38" t="s">
        <v>556</v>
      </c>
      <c r="D104" s="44"/>
      <c r="E104" s="61"/>
      <c r="G104" s="91"/>
    </row>
    <row r="105" spans="1:5" ht="12.75">
      <c r="A105" s="34"/>
      <c r="B105" s="34" t="s">
        <v>557</v>
      </c>
      <c r="C105" s="92">
        <v>2961</v>
      </c>
      <c r="D105" s="44"/>
      <c r="E105" s="61"/>
    </row>
    <row r="106" spans="1:5" ht="12.75">
      <c r="A106" s="34"/>
      <c r="B106" s="34" t="s">
        <v>558</v>
      </c>
      <c r="C106" s="92">
        <v>262</v>
      </c>
      <c r="D106" s="44"/>
      <c r="E106" s="61"/>
    </row>
    <row r="107" spans="1:5" ht="12.75">
      <c r="A107" s="34"/>
      <c r="B107" s="34" t="s">
        <v>559</v>
      </c>
      <c r="C107" s="92">
        <v>2962</v>
      </c>
      <c r="D107" s="44"/>
      <c r="E107" s="61"/>
    </row>
    <row r="108" spans="1:5" ht="12.75">
      <c r="A108" s="34"/>
      <c r="B108" s="34" t="s">
        <v>560</v>
      </c>
      <c r="C108" s="92">
        <v>263</v>
      </c>
      <c r="D108" s="44"/>
      <c r="E108" s="61"/>
    </row>
    <row r="109" spans="1:5" ht="12.75">
      <c r="A109" s="34"/>
      <c r="B109" s="34" t="s">
        <v>579</v>
      </c>
      <c r="C109" s="92">
        <v>2964</v>
      </c>
      <c r="D109" s="44"/>
      <c r="E109" s="61"/>
    </row>
    <row r="110" spans="1:5" ht="12.75">
      <c r="A110" s="34"/>
      <c r="B110" s="34" t="s">
        <v>580</v>
      </c>
      <c r="C110" s="92">
        <v>265</v>
      </c>
      <c r="D110" s="44"/>
      <c r="E110" s="61"/>
    </row>
    <row r="111" spans="1:5" ht="12.75">
      <c r="A111" s="34"/>
      <c r="B111" s="34" t="s">
        <v>581</v>
      </c>
      <c r="C111" s="92">
        <v>268</v>
      </c>
      <c r="D111" s="44"/>
      <c r="E111" s="61"/>
    </row>
    <row r="112" spans="1:5" ht="12.75">
      <c r="A112" s="34"/>
      <c r="B112" s="34" t="s">
        <v>582</v>
      </c>
      <c r="C112" s="38">
        <v>2965</v>
      </c>
      <c r="D112" s="44"/>
      <c r="E112" s="61"/>
    </row>
    <row r="113" spans="1:5" ht="12.75">
      <c r="A113" s="34"/>
      <c r="B113" s="34" t="s">
        <v>583</v>
      </c>
      <c r="C113" s="92">
        <v>2966</v>
      </c>
      <c r="D113" s="44"/>
      <c r="E113" s="61"/>
    </row>
    <row r="114" spans="1:5" ht="12.75">
      <c r="A114" s="34"/>
      <c r="B114" s="34" t="s">
        <v>584</v>
      </c>
      <c r="C114" s="38" t="s">
        <v>585</v>
      </c>
      <c r="D114" s="44"/>
      <c r="E114" s="61"/>
    </row>
    <row r="115" spans="1:5" ht="12.75">
      <c r="A115" s="34"/>
      <c r="B115" s="34" t="s">
        <v>586</v>
      </c>
      <c r="C115" s="92">
        <v>451</v>
      </c>
      <c r="D115" s="44"/>
      <c r="E115" s="61"/>
    </row>
    <row r="116" spans="1:5" ht="12.75">
      <c r="A116" s="34"/>
      <c r="B116" s="34" t="s">
        <v>587</v>
      </c>
      <c r="C116" s="92">
        <v>455</v>
      </c>
      <c r="D116" s="44"/>
      <c r="E116" s="61"/>
    </row>
    <row r="117" spans="1:5" ht="12.75">
      <c r="A117" s="34"/>
      <c r="B117" s="34" t="s">
        <v>588</v>
      </c>
      <c r="C117" s="92">
        <v>457</v>
      </c>
      <c r="D117" s="44"/>
      <c r="E117" s="61"/>
    </row>
    <row r="118" spans="1:5" ht="12.75">
      <c r="A118" s="34"/>
      <c r="B118" s="34" t="s">
        <v>589</v>
      </c>
      <c r="C118" s="38" t="s">
        <v>590</v>
      </c>
      <c r="D118" s="44"/>
      <c r="E118" s="61"/>
    </row>
    <row r="119" spans="1:5" ht="12.75">
      <c r="A119" s="34"/>
      <c r="B119" s="34" t="s">
        <v>591</v>
      </c>
      <c r="C119" s="38" t="s">
        <v>592</v>
      </c>
      <c r="D119" s="44"/>
      <c r="E119" s="61"/>
    </row>
    <row r="120" spans="1:5" ht="12.75">
      <c r="A120" s="34"/>
      <c r="B120" s="34" t="s">
        <v>593</v>
      </c>
      <c r="C120" s="38" t="s">
        <v>594</v>
      </c>
      <c r="D120" s="44"/>
      <c r="E120" s="61"/>
    </row>
    <row r="121" spans="1:5" ht="12.75">
      <c r="A121" s="34"/>
      <c r="B121" s="34" t="s">
        <v>595</v>
      </c>
      <c r="C121" s="38" t="s">
        <v>596</v>
      </c>
      <c r="D121" s="44"/>
      <c r="E121" s="61"/>
    </row>
    <row r="122" spans="1:5" ht="12.75">
      <c r="A122" s="34"/>
      <c r="B122" s="34" t="s">
        <v>499</v>
      </c>
      <c r="C122" s="38" t="s">
        <v>597</v>
      </c>
      <c r="D122" s="44"/>
      <c r="E122" s="61"/>
    </row>
    <row r="123" spans="1:5" ht="12.75">
      <c r="A123" s="34"/>
      <c r="B123" s="63" t="s">
        <v>598</v>
      </c>
      <c r="C123" s="38" t="s">
        <v>599</v>
      </c>
      <c r="D123" s="44"/>
      <c r="E123" s="61"/>
    </row>
    <row r="124" spans="1:5" ht="12.75">
      <c r="A124" s="34"/>
      <c r="B124" s="34" t="s">
        <v>600</v>
      </c>
      <c r="C124" s="38" t="s">
        <v>601</v>
      </c>
      <c r="D124" s="44"/>
      <c r="E124" s="61"/>
    </row>
    <row r="125" spans="1:5" ht="12.75">
      <c r="A125" s="34"/>
      <c r="B125" s="34" t="s">
        <v>602</v>
      </c>
      <c r="C125" s="38" t="s">
        <v>585</v>
      </c>
      <c r="D125" s="44"/>
      <c r="E125" s="61"/>
    </row>
    <row r="126" spans="1:5" ht="12.75">
      <c r="A126" s="34"/>
      <c r="B126" s="34" t="s">
        <v>603</v>
      </c>
      <c r="C126" s="38" t="s">
        <v>604</v>
      </c>
      <c r="D126" s="44"/>
      <c r="E126" s="61"/>
    </row>
    <row r="127" spans="1:5" ht="12.75">
      <c r="A127" s="34"/>
      <c r="B127" s="34" t="s">
        <v>605</v>
      </c>
      <c r="C127" s="38" t="s">
        <v>606</v>
      </c>
      <c r="D127" s="44"/>
      <c r="E127" s="61"/>
    </row>
    <row r="128" spans="1:5" ht="12.75">
      <c r="A128" s="34"/>
      <c r="B128" s="34" t="s">
        <v>607</v>
      </c>
      <c r="C128" s="38" t="s">
        <v>585</v>
      </c>
      <c r="D128" s="44"/>
      <c r="E128" s="61"/>
    </row>
    <row r="129" spans="1:5" ht="12.75">
      <c r="A129" s="34"/>
      <c r="B129" s="34" t="s">
        <v>608</v>
      </c>
      <c r="C129" s="38" t="s">
        <v>609</v>
      </c>
      <c r="D129" s="44"/>
      <c r="E129" s="61"/>
    </row>
    <row r="130" spans="1:5" ht="12.75">
      <c r="A130" s="34"/>
      <c r="B130" s="34" t="s">
        <v>610</v>
      </c>
      <c r="C130" s="38" t="s">
        <v>611</v>
      </c>
      <c r="D130" s="44"/>
      <c r="E130" s="61"/>
    </row>
    <row r="131" spans="1:5" ht="12.75">
      <c r="A131" s="34"/>
      <c r="B131" s="34" t="s">
        <v>612</v>
      </c>
      <c r="C131" s="38" t="s">
        <v>613</v>
      </c>
      <c r="D131" s="44"/>
      <c r="E131" s="61"/>
    </row>
    <row r="132" spans="1:5" ht="12.75">
      <c r="A132" s="34"/>
      <c r="B132" s="34" t="s">
        <v>614</v>
      </c>
      <c r="C132" s="38" t="s">
        <v>615</v>
      </c>
      <c r="D132" s="44"/>
      <c r="E132" s="61"/>
    </row>
    <row r="133" spans="1:5" ht="12.75">
      <c r="A133" s="34"/>
      <c r="B133" s="34" t="s">
        <v>616</v>
      </c>
      <c r="C133" s="38" t="s">
        <v>617</v>
      </c>
      <c r="D133" s="44"/>
      <c r="E133" s="61"/>
    </row>
    <row r="134" spans="1:5" ht="12.75">
      <c r="A134" s="34"/>
      <c r="B134" s="34" t="s">
        <v>618</v>
      </c>
      <c r="C134" s="38" t="s">
        <v>619</v>
      </c>
      <c r="D134" s="44"/>
      <c r="E134" s="61"/>
    </row>
    <row r="135" spans="1:5" ht="12.75">
      <c r="A135" s="34"/>
      <c r="B135" s="34" t="s">
        <v>508</v>
      </c>
      <c r="C135" s="38" t="s">
        <v>620</v>
      </c>
      <c r="D135" s="44"/>
      <c r="E135" s="61"/>
    </row>
    <row r="136" spans="1:5" ht="12.75">
      <c r="A136" s="34"/>
      <c r="B136" s="34" t="s">
        <v>509</v>
      </c>
      <c r="C136" s="38" t="s">
        <v>604</v>
      </c>
      <c r="D136" s="44"/>
      <c r="E136" s="61"/>
    </row>
    <row r="137" spans="1:5" ht="12.75">
      <c r="A137" s="34"/>
      <c r="B137" s="34" t="s">
        <v>510</v>
      </c>
      <c r="C137" s="38" t="s">
        <v>606</v>
      </c>
      <c r="D137" s="44"/>
      <c r="E137" s="61"/>
    </row>
    <row r="138" spans="1:5" ht="12.75">
      <c r="A138" s="34"/>
      <c r="B138" s="34" t="s">
        <v>621</v>
      </c>
      <c r="C138" s="38" t="s">
        <v>622</v>
      </c>
      <c r="D138" s="44"/>
      <c r="E138" s="61"/>
    </row>
    <row r="139" spans="1:5" ht="12.75">
      <c r="A139" s="34"/>
      <c r="B139" s="34" t="s">
        <v>623</v>
      </c>
      <c r="C139" s="38" t="s">
        <v>601</v>
      </c>
      <c r="D139" s="44"/>
      <c r="E139" s="61"/>
    </row>
    <row r="140" spans="1:5" ht="12.75">
      <c r="A140" s="34"/>
      <c r="B140" s="34" t="s">
        <v>624</v>
      </c>
      <c r="C140" s="38" t="s">
        <v>625</v>
      </c>
      <c r="D140" s="44"/>
      <c r="E140" s="61"/>
    </row>
    <row r="141" spans="1:5" ht="12.75">
      <c r="A141" s="34"/>
      <c r="B141" s="34" t="s">
        <v>513</v>
      </c>
      <c r="C141" s="38" t="s">
        <v>626</v>
      </c>
      <c r="D141" s="44"/>
      <c r="E141" s="61"/>
    </row>
    <row r="142" spans="1:5" ht="12.75">
      <c r="A142" s="34"/>
      <c r="B142" s="34" t="s">
        <v>627</v>
      </c>
      <c r="C142" s="38" t="s">
        <v>628</v>
      </c>
      <c r="D142" s="44"/>
      <c r="E142" s="61"/>
    </row>
    <row r="143" spans="1:5" ht="13.5" thickBot="1">
      <c r="A143" s="49"/>
      <c r="B143" s="49" t="s">
        <v>629</v>
      </c>
      <c r="C143" s="50" t="s">
        <v>630</v>
      </c>
      <c r="D143" s="51"/>
      <c r="E143" s="68"/>
    </row>
    <row r="144" spans="1:5" ht="14.25" thickBot="1" thickTop="1">
      <c r="A144" s="54"/>
      <c r="B144" s="54" t="s">
        <v>492</v>
      </c>
      <c r="C144" s="69"/>
      <c r="D144" s="70">
        <f>SUM(D103:D143)</f>
        <v>0</v>
      </c>
      <c r="E144" s="71">
        <f>SUM(E103:E143)</f>
        <v>0</v>
      </c>
    </row>
    <row r="145" spans="1:5" ht="14.25" thickBot="1" thickTop="1">
      <c r="A145" s="54">
        <v>2</v>
      </c>
      <c r="B145" s="93" t="s">
        <v>631</v>
      </c>
      <c r="C145" s="94"/>
      <c r="D145" s="70"/>
      <c r="E145" s="71"/>
    </row>
    <row r="146" spans="1:5" ht="13.5" thickTop="1">
      <c r="A146" s="76"/>
      <c r="B146" s="95" t="s">
        <v>632</v>
      </c>
      <c r="C146" s="96">
        <v>211</v>
      </c>
      <c r="D146" s="97">
        <v>833841819</v>
      </c>
      <c r="E146" s="97">
        <v>810524319</v>
      </c>
    </row>
    <row r="147" spans="1:5" ht="12.75">
      <c r="A147" s="34"/>
      <c r="B147" s="63" t="s">
        <v>633</v>
      </c>
      <c r="C147" s="98">
        <v>2911</v>
      </c>
      <c r="D147" s="44"/>
      <c r="E147" s="44"/>
    </row>
    <row r="148" spans="1:5" ht="12.75">
      <c r="A148" s="34"/>
      <c r="B148" s="63" t="s">
        <v>634</v>
      </c>
      <c r="C148" s="98">
        <v>212</v>
      </c>
      <c r="D148" s="44">
        <f>403493181+572867468</f>
        <v>976360649</v>
      </c>
      <c r="E148" s="44">
        <v>393006082</v>
      </c>
    </row>
    <row r="149" spans="1:5" ht="12.75">
      <c r="A149" s="34"/>
      <c r="B149" s="63" t="s">
        <v>635</v>
      </c>
      <c r="C149" s="98">
        <v>2912</v>
      </c>
      <c r="D149" s="44"/>
      <c r="E149" s="44"/>
    </row>
    <row r="150" spans="1:5" ht="12.75">
      <c r="A150" s="34"/>
      <c r="B150" s="63" t="s">
        <v>636</v>
      </c>
      <c r="C150" s="98">
        <v>2812</v>
      </c>
      <c r="D150" s="333">
        <v>-157336562</v>
      </c>
      <c r="E150" s="333">
        <v>-144290385</v>
      </c>
    </row>
    <row r="151" spans="1:5" ht="12.75">
      <c r="A151" s="34"/>
      <c r="B151" s="63" t="s">
        <v>637</v>
      </c>
      <c r="C151" s="38">
        <v>213</v>
      </c>
      <c r="D151" s="44">
        <v>1849786412</v>
      </c>
      <c r="E151" s="44">
        <v>1779536573</v>
      </c>
    </row>
    <row r="152" spans="1:5" ht="12.75">
      <c r="A152" s="34"/>
      <c r="B152" s="63" t="s">
        <v>638</v>
      </c>
      <c r="C152" s="35">
        <v>2813</v>
      </c>
      <c r="D152" s="333">
        <v>-1067736040.30017</v>
      </c>
      <c r="E152" s="333">
        <v>-984398017</v>
      </c>
    </row>
    <row r="153" spans="1:5" ht="12.75">
      <c r="A153" s="34"/>
      <c r="B153" s="63" t="s">
        <v>639</v>
      </c>
      <c r="C153" s="35">
        <v>215</v>
      </c>
      <c r="D153" s="44">
        <v>431503764</v>
      </c>
      <c r="E153" s="44">
        <v>373839550</v>
      </c>
    </row>
    <row r="154" spans="1:5" ht="12.75">
      <c r="A154" s="34"/>
      <c r="B154" s="63" t="s">
        <v>640</v>
      </c>
      <c r="C154" s="35">
        <v>2815</v>
      </c>
      <c r="D154" s="333">
        <v>-211442142</v>
      </c>
      <c r="E154" s="333">
        <v>-178643658</v>
      </c>
    </row>
    <row r="155" spans="1:5" ht="12.75">
      <c r="A155" s="34"/>
      <c r="B155" s="63" t="s">
        <v>641</v>
      </c>
      <c r="C155" s="35">
        <v>2913</v>
      </c>
      <c r="D155" s="44"/>
      <c r="E155" s="44"/>
    </row>
    <row r="156" spans="1:5" ht="12.75">
      <c r="A156" s="34"/>
      <c r="B156" s="63" t="s">
        <v>642</v>
      </c>
      <c r="C156" s="35">
        <v>2915</v>
      </c>
      <c r="D156" s="44"/>
      <c r="E156" s="44"/>
    </row>
    <row r="157" spans="1:5" ht="12.75">
      <c r="A157" s="76"/>
      <c r="B157" s="63" t="s">
        <v>643</v>
      </c>
      <c r="C157" s="35">
        <v>218</v>
      </c>
      <c r="D157" s="44">
        <v>79814686</v>
      </c>
      <c r="E157" s="44">
        <v>63873489</v>
      </c>
    </row>
    <row r="158" spans="1:5" ht="12.75">
      <c r="A158" s="34"/>
      <c r="B158" s="63" t="s">
        <v>644</v>
      </c>
      <c r="C158" s="35">
        <v>2181</v>
      </c>
      <c r="D158" s="44"/>
      <c r="E158" s="44"/>
    </row>
    <row r="159" spans="1:5" ht="12.75">
      <c r="A159" s="34"/>
      <c r="B159" s="63" t="s">
        <v>645</v>
      </c>
      <c r="C159" s="35">
        <v>2182</v>
      </c>
      <c r="D159" s="44"/>
      <c r="E159" s="44"/>
    </row>
    <row r="160" spans="1:5" ht="12.75">
      <c r="A160" s="34"/>
      <c r="B160" s="63" t="s">
        <v>646</v>
      </c>
      <c r="C160" s="35">
        <v>2183</v>
      </c>
      <c r="D160" s="44"/>
      <c r="E160" s="44"/>
    </row>
    <row r="161" spans="1:5" ht="12.75">
      <c r="A161" s="34"/>
      <c r="B161" s="63" t="s">
        <v>647</v>
      </c>
      <c r="C161" s="35">
        <v>2918</v>
      </c>
      <c r="D161" s="44"/>
      <c r="E161" s="44"/>
    </row>
    <row r="162" spans="1:9" ht="12.75">
      <c r="A162" s="34"/>
      <c r="B162" s="63" t="s">
        <v>648</v>
      </c>
      <c r="C162" s="35">
        <v>2818</v>
      </c>
      <c r="D162" s="333">
        <v>-29523724.3078144</v>
      </c>
      <c r="E162" s="333">
        <v>-16519879</v>
      </c>
      <c r="I162" s="27"/>
    </row>
    <row r="163" spans="1:5" ht="12.75">
      <c r="A163" s="65"/>
      <c r="B163" s="99" t="s">
        <v>649</v>
      </c>
      <c r="C163" s="100">
        <v>232</v>
      </c>
      <c r="D163" s="67">
        <v>4873000</v>
      </c>
      <c r="E163" s="67">
        <v>570516063</v>
      </c>
    </row>
    <row r="164" spans="1:5" ht="13.5" thickBot="1">
      <c r="A164" s="49"/>
      <c r="B164" s="49" t="s">
        <v>650</v>
      </c>
      <c r="C164" s="50" t="s">
        <v>651</v>
      </c>
      <c r="D164" s="51"/>
      <c r="E164" s="51"/>
    </row>
    <row r="165" spans="1:7" ht="14.25" thickBot="1" thickTop="1">
      <c r="A165" s="54"/>
      <c r="B165" s="54" t="s">
        <v>652</v>
      </c>
      <c r="C165" s="101"/>
      <c r="D165" s="70">
        <f>SUM(D146:D163)</f>
        <v>2710141861.3920155</v>
      </c>
      <c r="E165" s="70">
        <f>SUM(E146:E164)</f>
        <v>2667444137</v>
      </c>
      <c r="G165" s="64"/>
    </row>
    <row r="166" spans="1:5" ht="13.5" thickTop="1">
      <c r="A166" s="76">
        <v>3</v>
      </c>
      <c r="B166" s="95" t="s">
        <v>653</v>
      </c>
      <c r="C166" s="102"/>
      <c r="D166" s="97"/>
      <c r="E166" s="79"/>
    </row>
    <row r="167" spans="1:5" ht="12.75">
      <c r="A167" s="34"/>
      <c r="B167" s="34" t="s">
        <v>654</v>
      </c>
      <c r="C167" s="35">
        <v>24</v>
      </c>
      <c r="D167" s="44"/>
      <c r="E167" s="61"/>
    </row>
    <row r="168" spans="1:5" ht="12.75">
      <c r="A168" s="34"/>
      <c r="B168" s="34" t="s">
        <v>655</v>
      </c>
      <c r="C168" s="35">
        <v>284</v>
      </c>
      <c r="D168" s="44"/>
      <c r="E168" s="61"/>
    </row>
    <row r="169" spans="1:5" ht="13.5" thickBot="1">
      <c r="A169" s="49"/>
      <c r="B169" s="49" t="s">
        <v>656</v>
      </c>
      <c r="C169" s="103">
        <v>293</v>
      </c>
      <c r="D169" s="51"/>
      <c r="E169" s="68"/>
    </row>
    <row r="170" spans="1:5" ht="14.25" thickBot="1" thickTop="1">
      <c r="A170" s="54"/>
      <c r="B170" s="54" t="s">
        <v>543</v>
      </c>
      <c r="C170" s="101"/>
      <c r="D170" s="70">
        <f>SUM(D166:D169)</f>
        <v>0</v>
      </c>
      <c r="E170" s="71">
        <f>SUM(E166:E169)</f>
        <v>0</v>
      </c>
    </row>
    <row r="171" spans="1:5" ht="13.5" thickTop="1">
      <c r="A171" s="76">
        <v>4</v>
      </c>
      <c r="B171" s="76" t="s">
        <v>657</v>
      </c>
      <c r="C171" s="102"/>
      <c r="D171" s="97"/>
      <c r="E171" s="79"/>
    </row>
    <row r="172" spans="1:5" ht="12.75">
      <c r="A172" s="34"/>
      <c r="B172" s="34" t="s">
        <v>658</v>
      </c>
      <c r="C172" s="35">
        <v>201</v>
      </c>
      <c r="D172" s="44"/>
      <c r="E172" s="61"/>
    </row>
    <row r="173" spans="1:5" ht="12.75">
      <c r="A173" s="34"/>
      <c r="B173" s="34" t="s">
        <v>659</v>
      </c>
      <c r="C173" s="35">
        <v>2801</v>
      </c>
      <c r="D173" s="44"/>
      <c r="E173" s="61"/>
    </row>
    <row r="174" spans="1:5" ht="12.75">
      <c r="A174" s="34"/>
      <c r="B174" s="34" t="s">
        <v>660</v>
      </c>
      <c r="C174" s="35">
        <v>2901</v>
      </c>
      <c r="D174" s="44"/>
      <c r="E174" s="61"/>
    </row>
    <row r="175" spans="1:5" ht="12.75">
      <c r="A175" s="34"/>
      <c r="B175" s="34" t="s">
        <v>661</v>
      </c>
      <c r="C175" s="35">
        <v>205</v>
      </c>
      <c r="D175" s="44"/>
      <c r="E175" s="61"/>
    </row>
    <row r="176" spans="1:5" ht="12.75">
      <c r="A176" s="34"/>
      <c r="B176" s="34" t="s">
        <v>662</v>
      </c>
      <c r="C176" s="35">
        <v>2805</v>
      </c>
      <c r="D176" s="44"/>
      <c r="E176" s="61"/>
    </row>
    <row r="177" spans="1:5" ht="12.75">
      <c r="A177" s="34"/>
      <c r="B177" s="34" t="s">
        <v>663</v>
      </c>
      <c r="C177" s="35">
        <v>2905</v>
      </c>
      <c r="D177" s="44"/>
      <c r="E177" s="61"/>
    </row>
    <row r="178" spans="1:5" ht="12.75">
      <c r="A178" s="34"/>
      <c r="B178" s="34" t="s">
        <v>664</v>
      </c>
      <c r="C178" s="35">
        <v>208</v>
      </c>
      <c r="D178" s="44"/>
      <c r="E178" s="104"/>
    </row>
    <row r="179" spans="1:5" ht="12.75">
      <c r="A179" s="34"/>
      <c r="B179" s="34" t="s">
        <v>665</v>
      </c>
      <c r="C179" s="35">
        <v>2808</v>
      </c>
      <c r="D179" s="44"/>
      <c r="E179" s="104"/>
    </row>
    <row r="180" spans="1:5" ht="13.5" thickBot="1">
      <c r="A180" s="49"/>
      <c r="B180" s="49" t="s">
        <v>666</v>
      </c>
      <c r="C180" s="103">
        <v>2908</v>
      </c>
      <c r="D180" s="51"/>
      <c r="E180" s="68"/>
    </row>
    <row r="181" spans="1:5" ht="14.25" thickBot="1" thickTop="1">
      <c r="A181" s="54"/>
      <c r="B181" s="54" t="s">
        <v>667</v>
      </c>
      <c r="C181" s="101"/>
      <c r="D181" s="70">
        <f>SUM(D172:D180)</f>
        <v>0</v>
      </c>
      <c r="E181" s="71">
        <f>SUM(E172:E180)</f>
        <v>0</v>
      </c>
    </row>
    <row r="182" spans="1:5" ht="14.25" thickBot="1" thickTop="1">
      <c r="A182" s="54">
        <v>5</v>
      </c>
      <c r="B182" s="54" t="s">
        <v>668</v>
      </c>
      <c r="C182" s="101">
        <v>4562</v>
      </c>
      <c r="D182" s="70">
        <v>0</v>
      </c>
      <c r="E182" s="71"/>
    </row>
    <row r="183" spans="1:5" ht="14.25" thickBot="1" thickTop="1">
      <c r="A183" s="53">
        <v>6</v>
      </c>
      <c r="B183" s="53" t="s">
        <v>669</v>
      </c>
      <c r="C183" s="105"/>
      <c r="D183" s="56"/>
      <c r="E183" s="75"/>
    </row>
    <row r="184" spans="1:5" ht="16.5" thickBot="1" thickTop="1">
      <c r="A184" s="84"/>
      <c r="B184" s="85" t="s">
        <v>670</v>
      </c>
      <c r="C184" s="106"/>
      <c r="D184" s="56">
        <f>+D144+D165+D170+D181</f>
        <v>2710141861.3920155</v>
      </c>
      <c r="E184" s="107">
        <f>+E144+E165+E170+E181</f>
        <v>2667444137</v>
      </c>
    </row>
    <row r="185" spans="1:5" ht="21" thickBot="1" thickTop="1">
      <c r="A185" s="108"/>
      <c r="B185" s="109" t="s">
        <v>671</v>
      </c>
      <c r="C185" s="110"/>
      <c r="D185" s="111">
        <f>+D184+D101</f>
        <v>4703100854.472015</v>
      </c>
      <c r="E185" s="111">
        <f>+E184+E101</f>
        <v>4170355956</v>
      </c>
    </row>
    <row r="186" spans="4:10" ht="13.5" thickTop="1">
      <c r="D186" s="112"/>
      <c r="E186" s="113"/>
      <c r="G186" s="64"/>
      <c r="H186" s="114"/>
      <c r="I186" s="114"/>
      <c r="J186" s="114"/>
    </row>
    <row r="187" spans="4:10" ht="12.75">
      <c r="D187" s="112"/>
      <c r="E187" s="113"/>
      <c r="G187" s="64"/>
      <c r="H187" s="114"/>
      <c r="I187" s="114"/>
      <c r="J187" s="114"/>
    </row>
    <row r="188" spans="4:10" ht="12.75">
      <c r="D188" s="112"/>
      <c r="E188" s="448"/>
      <c r="G188" s="64"/>
      <c r="H188" s="114"/>
      <c r="I188" s="114"/>
      <c r="J188" s="114"/>
    </row>
    <row r="189" spans="4:10" ht="12.75">
      <c r="D189" s="112"/>
      <c r="E189" s="113"/>
      <c r="G189" s="64"/>
      <c r="H189" s="114"/>
      <c r="I189" s="114"/>
      <c r="J189" s="114"/>
    </row>
    <row r="190" spans="4:10" ht="12.75">
      <c r="D190" s="112"/>
      <c r="E190" s="113"/>
      <c r="G190" s="64"/>
      <c r="H190" s="114"/>
      <c r="I190" s="114"/>
      <c r="J190" s="114"/>
    </row>
    <row r="191" spans="4:10" ht="12.75">
      <c r="D191" s="112"/>
      <c r="E191" s="113"/>
      <c r="G191" s="64"/>
      <c r="H191" s="114"/>
      <c r="I191" s="114"/>
      <c r="J191" s="114"/>
    </row>
    <row r="192" spans="4:10" ht="12.75">
      <c r="D192" s="112"/>
      <c r="E192" s="113"/>
      <c r="G192" s="64"/>
      <c r="H192" s="114"/>
      <c r="I192" s="114"/>
      <c r="J192" s="114"/>
    </row>
    <row r="193" spans="1:10" ht="18">
      <c r="A193" s="468"/>
      <c r="B193" s="468"/>
      <c r="C193" s="115"/>
      <c r="D193" s="469"/>
      <c r="E193" s="469"/>
      <c r="G193" s="64"/>
      <c r="H193" s="114"/>
      <c r="I193" s="114"/>
      <c r="J193" s="114"/>
    </row>
    <row r="194" spans="1:10" ht="18">
      <c r="A194" s="468"/>
      <c r="B194" s="468"/>
      <c r="C194" s="115"/>
      <c r="D194" s="469"/>
      <c r="E194" s="469"/>
      <c r="G194" s="64"/>
      <c r="H194" s="114"/>
      <c r="I194" s="114"/>
      <c r="J194" s="114"/>
    </row>
    <row r="195" spans="4:10" ht="12.75">
      <c r="D195" s="112"/>
      <c r="E195" s="113"/>
      <c r="G195" s="64"/>
      <c r="H195" s="114"/>
      <c r="I195" s="114"/>
      <c r="J195" s="114"/>
    </row>
    <row r="196" spans="4:10" ht="12.75">
      <c r="D196" s="112"/>
      <c r="E196" s="113"/>
      <c r="G196" s="64"/>
      <c r="H196" s="114"/>
      <c r="I196" s="114"/>
      <c r="J196" s="114"/>
    </row>
    <row r="197" spans="4:10" ht="12.75">
      <c r="D197" s="112"/>
      <c r="E197" s="113"/>
      <c r="G197" s="64"/>
      <c r="H197" s="114"/>
      <c r="I197" s="114"/>
      <c r="J197" s="114"/>
    </row>
    <row r="198" spans="4:10" ht="12.75">
      <c r="D198" s="112"/>
      <c r="E198" s="113"/>
      <c r="G198" s="64"/>
      <c r="H198" s="114"/>
      <c r="I198" s="114"/>
      <c r="J198" s="114"/>
    </row>
    <row r="199" spans="4:10" ht="12.75">
      <c r="D199" s="112"/>
      <c r="E199" s="113"/>
      <c r="G199" s="64"/>
      <c r="H199" s="114"/>
      <c r="I199" s="114"/>
      <c r="J199" s="114"/>
    </row>
    <row r="200" spans="4:10" ht="12.75">
      <c r="D200" s="112"/>
      <c r="E200" s="113"/>
      <c r="G200" s="64"/>
      <c r="H200" s="114"/>
      <c r="I200" s="114"/>
      <c r="J200" s="114"/>
    </row>
    <row r="201" spans="4:10" ht="12.75">
      <c r="D201" s="112"/>
      <c r="E201" s="113"/>
      <c r="G201" s="64"/>
      <c r="H201" s="114"/>
      <c r="I201" s="114"/>
      <c r="J201" s="114"/>
    </row>
    <row r="202" spans="4:10" ht="12.75">
      <c r="D202" s="112"/>
      <c r="E202" s="113"/>
      <c r="G202" s="64"/>
      <c r="H202" s="114"/>
      <c r="I202" s="114"/>
      <c r="J202" s="114"/>
    </row>
    <row r="203" spans="4:10" ht="12.75">
      <c r="D203" s="112"/>
      <c r="E203" s="113"/>
      <c r="G203" s="64"/>
      <c r="H203" s="114"/>
      <c r="I203" s="114"/>
      <c r="J203" s="114"/>
    </row>
    <row r="204" spans="4:10" ht="12.75">
      <c r="D204" s="116"/>
      <c r="E204" s="113"/>
      <c r="G204" s="64"/>
      <c r="H204" s="114"/>
      <c r="I204" s="114"/>
      <c r="J204" s="114"/>
    </row>
    <row r="205" spans="4:10" ht="12.75">
      <c r="D205" s="116"/>
      <c r="E205" s="113"/>
      <c r="G205" s="64"/>
      <c r="H205" s="114"/>
      <c r="I205" s="114"/>
      <c r="J205" s="114"/>
    </row>
    <row r="206" spans="4:10" ht="12.75">
      <c r="D206" s="116"/>
      <c r="E206" s="113"/>
      <c r="G206" s="64"/>
      <c r="H206" s="114"/>
      <c r="I206" s="114"/>
      <c r="J206" s="114"/>
    </row>
    <row r="207" spans="4:10" ht="12.75">
      <c r="D207" s="116"/>
      <c r="E207" s="113"/>
      <c r="G207" s="64"/>
      <c r="H207" s="114"/>
      <c r="I207" s="114"/>
      <c r="J207" s="114"/>
    </row>
    <row r="208" spans="4:10" ht="12.75">
      <c r="D208" s="116"/>
      <c r="E208" s="113"/>
      <c r="G208" s="64"/>
      <c r="H208" s="114"/>
      <c r="I208" s="114"/>
      <c r="J208" s="114"/>
    </row>
    <row r="209" spans="4:10" ht="12.75">
      <c r="D209" s="116"/>
      <c r="E209" s="113"/>
      <c r="G209" s="64"/>
      <c r="H209" s="114"/>
      <c r="I209" s="114"/>
      <c r="J209" s="114"/>
    </row>
    <row r="210" spans="4:10" ht="12.75">
      <c r="D210" s="116"/>
      <c r="E210" s="113"/>
      <c r="G210" s="64"/>
      <c r="H210" s="114"/>
      <c r="I210" s="114"/>
      <c r="J210" s="114"/>
    </row>
    <row r="211" spans="4:10" ht="12.75">
      <c r="D211" s="116"/>
      <c r="E211" s="113"/>
      <c r="G211" s="64"/>
      <c r="H211" s="114"/>
      <c r="I211" s="114"/>
      <c r="J211" s="114"/>
    </row>
    <row r="212" spans="4:10" ht="12.75">
      <c r="D212" s="116"/>
      <c r="E212" s="113"/>
      <c r="G212" s="64"/>
      <c r="H212" s="114"/>
      <c r="I212" s="114"/>
      <c r="J212" s="114"/>
    </row>
    <row r="213" spans="4:5" ht="12.75">
      <c r="D213" s="116"/>
      <c r="E213" s="113"/>
    </row>
    <row r="214" spans="4:5" ht="12.75">
      <c r="D214" s="116"/>
      <c r="E214" s="113"/>
    </row>
    <row r="215" spans="4:5" ht="12.75">
      <c r="D215" s="116"/>
      <c r="E215" s="113"/>
    </row>
    <row r="216" spans="4:5" ht="12.75">
      <c r="D216" s="116"/>
      <c r="E216" s="113"/>
    </row>
    <row r="217" spans="4:5" ht="12.75">
      <c r="D217" s="116"/>
      <c r="E217" s="113"/>
    </row>
    <row r="218" spans="4:5" ht="12.75">
      <c r="D218" s="116"/>
      <c r="E218" s="113"/>
    </row>
    <row r="219" spans="4:5" ht="12.75">
      <c r="D219" s="116"/>
      <c r="E219" s="113"/>
    </row>
    <row r="220" spans="4:5" ht="12.75">
      <c r="D220" s="116"/>
      <c r="E220" s="113"/>
    </row>
    <row r="221" spans="4:5" ht="12.75">
      <c r="D221" s="116"/>
      <c r="E221" s="113"/>
    </row>
    <row r="222" spans="4:5" ht="12.75">
      <c r="D222" s="116"/>
      <c r="E222" s="113"/>
    </row>
    <row r="223" spans="4:5" ht="12.75">
      <c r="D223" s="116"/>
      <c r="E223" s="113"/>
    </row>
    <row r="224" spans="4:5" ht="12.75">
      <c r="D224" s="116"/>
      <c r="E224" s="113"/>
    </row>
    <row r="225" spans="4:5" ht="12.75">
      <c r="D225" s="116"/>
      <c r="E225" s="113"/>
    </row>
    <row r="226" spans="4:5" ht="12.75">
      <c r="D226" s="116"/>
      <c r="E226" s="113"/>
    </row>
    <row r="227" spans="4:5" ht="12.75">
      <c r="D227" s="116"/>
      <c r="E227" s="113"/>
    </row>
    <row r="228" spans="4:5" ht="12.75">
      <c r="D228" s="116"/>
      <c r="E228" s="113"/>
    </row>
    <row r="229" spans="4:5" ht="12.75">
      <c r="D229" s="116"/>
      <c r="E229" s="113"/>
    </row>
    <row r="230" spans="4:5" ht="12.75">
      <c r="D230" s="116"/>
      <c r="E230" s="113"/>
    </row>
    <row r="231" spans="4:5" ht="12.75">
      <c r="D231" s="116"/>
      <c r="E231" s="113"/>
    </row>
    <row r="232" spans="4:5" ht="12.75">
      <c r="D232" s="116"/>
      <c r="E232" s="113"/>
    </row>
    <row r="233" spans="4:5" ht="12.75">
      <c r="D233" s="116"/>
      <c r="E233" s="113"/>
    </row>
    <row r="234" spans="4:5" ht="12.75">
      <c r="D234" s="116"/>
      <c r="E234" s="113"/>
    </row>
    <row r="235" spans="4:5" ht="12.75">
      <c r="D235" s="116"/>
      <c r="E235" s="113"/>
    </row>
    <row r="236" spans="4:5" ht="12.75">
      <c r="D236" s="116"/>
      <c r="E236" s="113"/>
    </row>
    <row r="237" spans="4:5" ht="12.75">
      <c r="D237" s="116"/>
      <c r="E237" s="113"/>
    </row>
    <row r="238" spans="4:5" ht="12.75">
      <c r="D238" s="116"/>
      <c r="E238" s="113"/>
    </row>
    <row r="239" spans="4:5" ht="12.75">
      <c r="D239" s="116"/>
      <c r="E239" s="113"/>
    </row>
    <row r="240" spans="4:5" ht="12.75">
      <c r="D240" s="116"/>
      <c r="E240" s="113"/>
    </row>
    <row r="241" spans="4:5" ht="12.75">
      <c r="D241" s="116"/>
      <c r="E241" s="113"/>
    </row>
    <row r="242" spans="4:5" ht="12.75">
      <c r="D242" s="116"/>
      <c r="E242" s="113"/>
    </row>
    <row r="243" spans="4:5" ht="12.75">
      <c r="D243" s="116"/>
      <c r="E243" s="113"/>
    </row>
    <row r="244" spans="4:5" ht="12.75">
      <c r="D244" s="116"/>
      <c r="E244" s="113"/>
    </row>
    <row r="245" spans="4:5" ht="12.75">
      <c r="D245" s="116"/>
      <c r="E245" s="113"/>
    </row>
    <row r="246" spans="4:5" ht="12.75">
      <c r="D246" s="116"/>
      <c r="E246" s="113"/>
    </row>
    <row r="247" spans="4:5" ht="12.75">
      <c r="D247" s="116"/>
      <c r="E247" s="113"/>
    </row>
    <row r="248" spans="4:5" ht="12.75">
      <c r="D248" s="116"/>
      <c r="E248" s="113"/>
    </row>
    <row r="249" spans="4:5" ht="12.75">
      <c r="D249" s="116"/>
      <c r="E249" s="113"/>
    </row>
    <row r="250" spans="4:5" ht="12.75">
      <c r="D250" s="116"/>
      <c r="E250" s="113"/>
    </row>
    <row r="251" spans="4:5" ht="12.75">
      <c r="D251" s="116"/>
      <c r="E251" s="113"/>
    </row>
    <row r="252" spans="4:5" ht="12.75">
      <c r="D252" s="116"/>
      <c r="E252" s="113"/>
    </row>
    <row r="253" spans="4:5" ht="12.75">
      <c r="D253" s="116"/>
      <c r="E253" s="113"/>
    </row>
    <row r="254" spans="4:5" ht="12.75">
      <c r="D254" s="116"/>
      <c r="E254" s="113"/>
    </row>
    <row r="255" spans="4:5" ht="12.75">
      <c r="D255" s="116"/>
      <c r="E255" s="113"/>
    </row>
    <row r="256" spans="4:5" ht="12.75">
      <c r="D256" s="116"/>
      <c r="E256" s="113"/>
    </row>
    <row r="257" spans="4:5" ht="12.75">
      <c r="D257" s="116"/>
      <c r="E257" s="113"/>
    </row>
    <row r="258" spans="4:5" ht="12.75">
      <c r="D258" s="116"/>
      <c r="E258" s="113"/>
    </row>
    <row r="259" spans="4:5" ht="12.75">
      <c r="D259" s="116"/>
      <c r="E259" s="113"/>
    </row>
    <row r="260" spans="4:5" ht="12.75">
      <c r="D260" s="116"/>
      <c r="E260" s="113"/>
    </row>
    <row r="261" spans="4:5" ht="12.75">
      <c r="D261" s="116"/>
      <c r="E261" s="113"/>
    </row>
    <row r="262" spans="4:5" ht="12.75">
      <c r="D262" s="116"/>
      <c r="E262" s="113"/>
    </row>
    <row r="263" spans="4:5" ht="12.75">
      <c r="D263" s="116"/>
      <c r="E263" s="113"/>
    </row>
    <row r="264" spans="4:5" ht="12.75">
      <c r="D264" s="116"/>
      <c r="E264" s="113"/>
    </row>
    <row r="265" spans="4:5" ht="12.75">
      <c r="D265" s="116"/>
      <c r="E265" s="113"/>
    </row>
    <row r="266" spans="4:5" ht="12.75">
      <c r="D266" s="116"/>
      <c r="E266" s="113"/>
    </row>
    <row r="267" spans="4:5" ht="12.75">
      <c r="D267" s="116"/>
      <c r="E267" s="113"/>
    </row>
    <row r="268" spans="4:5" ht="12.75">
      <c r="D268" s="116"/>
      <c r="E268" s="113"/>
    </row>
    <row r="269" spans="4:5" ht="12.75">
      <c r="D269" s="116"/>
      <c r="E269" s="113"/>
    </row>
    <row r="270" spans="4:5" ht="12.75">
      <c r="D270" s="116"/>
      <c r="E270" s="113"/>
    </row>
    <row r="271" spans="4:5" ht="12.75">
      <c r="D271" s="116"/>
      <c r="E271" s="113"/>
    </row>
    <row r="272" spans="4:5" ht="12.75">
      <c r="D272" s="116"/>
      <c r="E272" s="113"/>
    </row>
    <row r="273" spans="4:5" ht="12.75">
      <c r="D273" s="116"/>
      <c r="E273" s="113"/>
    </row>
    <row r="274" spans="4:5" ht="12.75">
      <c r="D274" s="116"/>
      <c r="E274" s="113"/>
    </row>
    <row r="275" spans="4:5" ht="12.75">
      <c r="D275" s="116"/>
      <c r="E275" s="113"/>
    </row>
    <row r="276" spans="4:5" ht="12.75">
      <c r="D276" s="116"/>
      <c r="E276" s="113"/>
    </row>
    <row r="277" spans="4:5" ht="12.75">
      <c r="D277" s="116"/>
      <c r="E277" s="113"/>
    </row>
    <row r="278" spans="4:5" ht="12.75">
      <c r="D278" s="116"/>
      <c r="E278" s="113"/>
    </row>
    <row r="279" spans="4:5" ht="12.75">
      <c r="D279" s="116"/>
      <c r="E279" s="113"/>
    </row>
    <row r="280" spans="4:5" ht="12.75">
      <c r="D280" s="116"/>
      <c r="E280" s="113"/>
    </row>
    <row r="281" spans="4:5" ht="12.75">
      <c r="D281" s="116"/>
      <c r="E281" s="113"/>
    </row>
    <row r="282" spans="4:5" ht="12.75">
      <c r="D282" s="116"/>
      <c r="E282" s="113"/>
    </row>
    <row r="283" spans="4:5" ht="12.75">
      <c r="D283" s="116"/>
      <c r="E283" s="113"/>
    </row>
    <row r="284" spans="4:5" ht="12.75">
      <c r="D284" s="116"/>
      <c r="E284" s="113"/>
    </row>
    <row r="285" spans="4:5" ht="12.75">
      <c r="D285" s="116"/>
      <c r="E285" s="113"/>
    </row>
    <row r="286" spans="4:5" ht="12.75">
      <c r="D286" s="116"/>
      <c r="E286" s="113"/>
    </row>
    <row r="287" spans="4:5" ht="12.75">
      <c r="D287" s="116"/>
      <c r="E287" s="113"/>
    </row>
    <row r="288" spans="4:5" ht="12.75">
      <c r="D288" s="116"/>
      <c r="E288" s="113"/>
    </row>
    <row r="289" spans="4:5" ht="12.75">
      <c r="D289" s="116"/>
      <c r="E289" s="113"/>
    </row>
    <row r="290" spans="4:5" ht="12.75">
      <c r="D290" s="116"/>
      <c r="E290" s="113"/>
    </row>
    <row r="291" spans="4:5" ht="12.75">
      <c r="D291" s="116"/>
      <c r="E291" s="113"/>
    </row>
    <row r="292" spans="4:5" ht="12.75">
      <c r="D292" s="116"/>
      <c r="E292" s="113"/>
    </row>
    <row r="293" spans="4:5" ht="12.75">
      <c r="D293" s="116"/>
      <c r="E293" s="113"/>
    </row>
    <row r="294" spans="4:5" ht="12.75">
      <c r="D294" s="116"/>
      <c r="E294" s="113"/>
    </row>
    <row r="295" spans="4:5" ht="12.75">
      <c r="D295" s="116"/>
      <c r="E295" s="113"/>
    </row>
    <row r="296" spans="4:5" ht="12.75">
      <c r="D296" s="116"/>
      <c r="E296" s="113"/>
    </row>
    <row r="297" spans="4:5" ht="12.75">
      <c r="D297" s="116"/>
      <c r="E297" s="113"/>
    </row>
    <row r="298" spans="4:5" ht="12.75">
      <c r="D298" s="116"/>
      <c r="E298" s="113"/>
    </row>
    <row r="299" spans="4:5" ht="12.75">
      <c r="D299" s="116"/>
      <c r="E299" s="113"/>
    </row>
    <row r="300" spans="4:5" ht="12.75">
      <c r="D300" s="116"/>
      <c r="E300" s="113"/>
    </row>
    <row r="301" spans="4:5" ht="12.75">
      <c r="D301" s="116"/>
      <c r="E301" s="113"/>
    </row>
    <row r="302" spans="4:5" ht="12.75">
      <c r="D302" s="116"/>
      <c r="E302" s="113"/>
    </row>
    <row r="303" spans="4:5" ht="12.75">
      <c r="D303" s="116"/>
      <c r="E303" s="113"/>
    </row>
    <row r="304" spans="4:5" ht="12.75">
      <c r="D304" s="116"/>
      <c r="E304" s="113"/>
    </row>
    <row r="305" spans="4:5" ht="12.75">
      <c r="D305" s="116"/>
      <c r="E305" s="113"/>
    </row>
    <row r="306" spans="4:5" ht="12.75">
      <c r="D306" s="116"/>
      <c r="E306" s="113"/>
    </row>
    <row r="307" spans="4:5" ht="12.75">
      <c r="D307" s="116"/>
      <c r="E307" s="113"/>
    </row>
    <row r="308" spans="4:5" ht="12.75">
      <c r="D308" s="116"/>
      <c r="E308" s="113"/>
    </row>
    <row r="309" spans="4:5" ht="12.75">
      <c r="D309" s="116"/>
      <c r="E309" s="113"/>
    </row>
    <row r="310" spans="4:5" ht="12.75">
      <c r="D310" s="116"/>
      <c r="E310" s="113"/>
    </row>
    <row r="311" spans="4:5" ht="12.75">
      <c r="D311" s="116"/>
      <c r="E311" s="113"/>
    </row>
    <row r="312" spans="4:5" ht="12.75">
      <c r="D312" s="116"/>
      <c r="E312" s="113"/>
    </row>
    <row r="313" spans="4:5" ht="12.75">
      <c r="D313" s="116"/>
      <c r="E313" s="113"/>
    </row>
    <row r="314" spans="4:5" ht="12.75">
      <c r="D314" s="116"/>
      <c r="E314" s="113"/>
    </row>
    <row r="315" spans="4:5" ht="12.75">
      <c r="D315" s="116"/>
      <c r="E315" s="113"/>
    </row>
    <row r="316" spans="4:5" ht="12.75">
      <c r="D316" s="116"/>
      <c r="E316" s="113"/>
    </row>
    <row r="317" spans="4:5" ht="12.75">
      <c r="D317" s="116"/>
      <c r="E317" s="113"/>
    </row>
    <row r="318" spans="4:5" ht="12.75">
      <c r="D318" s="116"/>
      <c r="E318" s="113"/>
    </row>
    <row r="319" spans="4:5" ht="12.75">
      <c r="D319" s="116"/>
      <c r="E319" s="113"/>
    </row>
    <row r="320" spans="4:5" ht="12.75">
      <c r="D320" s="116"/>
      <c r="E320" s="113"/>
    </row>
    <row r="321" spans="4:5" ht="12.75">
      <c r="D321" s="116"/>
      <c r="E321" s="113"/>
    </row>
    <row r="322" spans="4:5" ht="12.75">
      <c r="D322" s="116"/>
      <c r="E322" s="113"/>
    </row>
    <row r="323" spans="4:5" ht="12.75">
      <c r="D323" s="116"/>
      <c r="E323" s="113"/>
    </row>
    <row r="324" spans="4:5" ht="12.75">
      <c r="D324" s="116"/>
      <c r="E324" s="113"/>
    </row>
    <row r="325" spans="4:5" ht="12.75">
      <c r="D325" s="116"/>
      <c r="E325" s="113"/>
    </row>
    <row r="326" spans="4:5" ht="12.75">
      <c r="D326" s="116"/>
      <c r="E326" s="113"/>
    </row>
    <row r="327" spans="4:5" ht="12.75">
      <c r="D327" s="116"/>
      <c r="E327" s="113"/>
    </row>
  </sheetData>
  <sheetProtection password="CA0B" sheet="1" objects="1" scenarios="1" selectLockedCells="1" selectUnlockedCells="1"/>
  <mergeCells count="4">
    <mergeCell ref="A193:B193"/>
    <mergeCell ref="D193:E193"/>
    <mergeCell ref="A194:B194"/>
    <mergeCell ref="D194:E194"/>
  </mergeCells>
  <printOptions horizontalCentered="1"/>
  <pageMargins left="0.31496062992125984" right="0.11811023622047245" top="0.9055118110236221" bottom="0.5118110236220472" header="0.5118110236220472" footer="0.5118110236220472"/>
  <pageSetup orientation="portrait" scale="74" r:id="rId3"/>
  <headerFooter alignWithMargins="0">
    <oddHeader>&amp;LSHOQERIA"ALFA"SHA
VRISERA-GJIROKASTER
NIPTI J 62903630 D</oddHeader>
  </headerFooter>
  <rowBreaks count="1" manualBreakCount="1">
    <brk id="144" max="4" man="1"/>
  </rowBreaks>
  <colBreaks count="2" manualBreakCount="2">
    <brk id="5" max="65535" man="1"/>
    <brk id="7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9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7.8515625" style="0" bestFit="1" customWidth="1"/>
    <col min="2" max="2" width="60.28125" style="0" customWidth="1"/>
    <col min="3" max="3" width="13.7109375" style="0" bestFit="1" customWidth="1"/>
    <col min="4" max="4" width="23.140625" style="118" bestFit="1" customWidth="1"/>
    <col min="5" max="5" width="22.57421875" style="118" bestFit="1" customWidth="1"/>
    <col min="6" max="6" width="19.00390625" style="0" bestFit="1" customWidth="1"/>
    <col min="7" max="7" width="19.8515625" style="0" bestFit="1" customWidth="1"/>
    <col min="8" max="9" width="11.00390625" style="0" bestFit="1" customWidth="1"/>
  </cols>
  <sheetData>
    <row r="1" ht="13.5" thickBot="1"/>
    <row r="2" spans="1:5" ht="14.25" thickBot="1" thickTop="1">
      <c r="A2" s="119"/>
      <c r="B2" s="120" t="s">
        <v>672</v>
      </c>
      <c r="C2" s="120" t="s">
        <v>451</v>
      </c>
      <c r="D2" s="121" t="s">
        <v>291</v>
      </c>
      <c r="E2" s="122" t="s">
        <v>155</v>
      </c>
    </row>
    <row r="3" spans="1:5" ht="14.25" thickTop="1">
      <c r="A3" s="123" t="s">
        <v>418</v>
      </c>
      <c r="B3" s="124" t="s">
        <v>673</v>
      </c>
      <c r="C3" s="125"/>
      <c r="D3" s="126"/>
      <c r="E3" s="127"/>
    </row>
    <row r="4" spans="1:5" ht="12.75">
      <c r="A4" s="33">
        <v>1</v>
      </c>
      <c r="B4" s="34" t="s">
        <v>674</v>
      </c>
      <c r="C4" s="35">
        <v>55</v>
      </c>
      <c r="D4" s="128"/>
      <c r="E4" s="128"/>
    </row>
    <row r="5" spans="1:5" ht="13.5" thickBot="1">
      <c r="A5" s="33"/>
      <c r="B5" s="34" t="s">
        <v>675</v>
      </c>
      <c r="C5" s="35">
        <v>5512</v>
      </c>
      <c r="D5" s="128"/>
      <c r="E5" s="129"/>
    </row>
    <row r="6" spans="1:5" ht="14.25" thickBot="1" thickTop="1">
      <c r="A6" s="54"/>
      <c r="B6" s="54" t="s">
        <v>676</v>
      </c>
      <c r="C6" s="101"/>
      <c r="D6" s="130">
        <f>SUM(D4:D5)</f>
        <v>0</v>
      </c>
      <c r="E6" s="130">
        <f>SUM(E4:E5)</f>
        <v>0</v>
      </c>
    </row>
    <row r="7" spans="1:5" ht="13.5" thickTop="1">
      <c r="A7" s="131">
        <v>2</v>
      </c>
      <c r="B7" s="57" t="s">
        <v>677</v>
      </c>
      <c r="C7" s="132"/>
      <c r="D7" s="133"/>
      <c r="E7" s="133"/>
    </row>
    <row r="8" spans="1:5" ht="12.75">
      <c r="A8" s="33"/>
      <c r="B8" s="34" t="s">
        <v>678</v>
      </c>
      <c r="C8" s="35">
        <v>519</v>
      </c>
      <c r="D8" s="128"/>
      <c r="E8" s="128"/>
    </row>
    <row r="9" spans="1:5" ht="12.75">
      <c r="A9" s="33"/>
      <c r="B9" s="34" t="s">
        <v>679</v>
      </c>
      <c r="C9" s="417">
        <v>542</v>
      </c>
      <c r="D9" s="435">
        <f>605636524+22000000</f>
        <v>627636524</v>
      </c>
      <c r="E9" s="435">
        <v>589438154</v>
      </c>
    </row>
    <row r="10" spans="1:5" ht="12.75">
      <c r="A10" s="33"/>
      <c r="B10" s="34" t="s">
        <v>680</v>
      </c>
      <c r="C10" s="418">
        <v>5411</v>
      </c>
      <c r="D10" s="128"/>
      <c r="E10" s="129"/>
    </row>
    <row r="11" spans="1:5" ht="12.75">
      <c r="A11" s="33"/>
      <c r="B11" s="34" t="s">
        <v>681</v>
      </c>
      <c r="C11" s="35">
        <v>5412</v>
      </c>
      <c r="D11" s="128"/>
      <c r="E11" s="129"/>
    </row>
    <row r="12" spans="1:5" ht="12.75">
      <c r="A12" s="33"/>
      <c r="B12" s="34" t="s">
        <v>682</v>
      </c>
      <c r="C12" s="134">
        <v>544</v>
      </c>
      <c r="D12" s="128"/>
      <c r="E12" s="128"/>
    </row>
    <row r="13" spans="1:5" ht="12.75">
      <c r="A13" s="33"/>
      <c r="B13" s="34" t="s">
        <v>683</v>
      </c>
      <c r="C13" s="35">
        <v>5441</v>
      </c>
      <c r="D13" s="128"/>
      <c r="E13" s="129"/>
    </row>
    <row r="14" spans="1:5" ht="12.75">
      <c r="A14" s="33"/>
      <c r="B14" s="34" t="s">
        <v>684</v>
      </c>
      <c r="C14" s="35">
        <v>5442</v>
      </c>
      <c r="D14" s="128"/>
      <c r="E14" s="129"/>
    </row>
    <row r="15" spans="1:5" ht="12.75">
      <c r="A15" s="33"/>
      <c r="B15" s="34" t="s">
        <v>685</v>
      </c>
      <c r="C15" s="134"/>
      <c r="D15" s="128"/>
      <c r="E15" s="129"/>
    </row>
    <row r="16" spans="1:5" ht="12.75">
      <c r="A16" s="33"/>
      <c r="B16" s="34" t="s">
        <v>686</v>
      </c>
      <c r="C16" s="134">
        <v>4613</v>
      </c>
      <c r="D16" s="128"/>
      <c r="E16" s="128"/>
    </row>
    <row r="17" spans="1:5" ht="12.75">
      <c r="A17" s="33"/>
      <c r="B17" s="34" t="s">
        <v>687</v>
      </c>
      <c r="C17" s="35">
        <v>4681</v>
      </c>
      <c r="D17" s="128"/>
      <c r="E17" s="129"/>
    </row>
    <row r="18" spans="1:5" ht="12.75">
      <c r="A18" s="33"/>
      <c r="B18" s="34" t="s">
        <v>688</v>
      </c>
      <c r="C18" s="35">
        <v>2340.5</v>
      </c>
      <c r="D18" s="128"/>
      <c r="E18" s="129"/>
    </row>
    <row r="19" spans="1:5" ht="12.75">
      <c r="A19" s="33"/>
      <c r="B19" s="34" t="s">
        <v>689</v>
      </c>
      <c r="C19" s="35">
        <v>484</v>
      </c>
      <c r="D19" s="129"/>
      <c r="E19" s="129"/>
    </row>
    <row r="20" spans="1:5" ht="12.75">
      <c r="A20" s="33"/>
      <c r="B20" s="34" t="s">
        <v>690</v>
      </c>
      <c r="C20" s="35">
        <v>4612</v>
      </c>
      <c r="D20" s="129"/>
      <c r="E20" s="129"/>
    </row>
    <row r="21" spans="1:5" ht="12.75">
      <c r="A21" s="33"/>
      <c r="B21" s="34" t="s">
        <v>691</v>
      </c>
      <c r="C21" s="134">
        <v>4682</v>
      </c>
      <c r="D21" s="129"/>
      <c r="E21" s="129"/>
    </row>
    <row r="22" spans="1:5" ht="12.75">
      <c r="A22" s="33"/>
      <c r="B22" s="34" t="s">
        <v>692</v>
      </c>
      <c r="C22" s="134">
        <v>1016107</v>
      </c>
      <c r="D22" s="129"/>
      <c r="E22" s="129"/>
    </row>
    <row r="23" spans="1:5" ht="13.5" thickBot="1">
      <c r="A23" s="135"/>
      <c r="B23" s="65" t="s">
        <v>693</v>
      </c>
      <c r="C23" s="136" t="s">
        <v>694</v>
      </c>
      <c r="D23" s="137"/>
      <c r="E23" s="137"/>
    </row>
    <row r="24" spans="1:5" ht="14.25" thickBot="1" thickTop="1">
      <c r="A24" s="54"/>
      <c r="B24" s="54" t="s">
        <v>695</v>
      </c>
      <c r="C24" s="101"/>
      <c r="D24" s="130">
        <f>SUM(D4:D23)</f>
        <v>627636524</v>
      </c>
      <c r="E24" s="130">
        <f>SUM(E4:E23)</f>
        <v>589438154</v>
      </c>
    </row>
    <row r="25" spans="1:5" ht="13.5" thickTop="1">
      <c r="A25" s="138">
        <v>3</v>
      </c>
      <c r="B25" s="76" t="s">
        <v>696</v>
      </c>
      <c r="C25" s="139"/>
      <c r="D25" s="140"/>
      <c r="E25" s="140"/>
    </row>
    <row r="26" spans="1:5" ht="12.75">
      <c r="A26" s="138"/>
      <c r="B26" s="34" t="s">
        <v>697</v>
      </c>
      <c r="C26" s="139">
        <v>468</v>
      </c>
      <c r="D26" s="140"/>
      <c r="E26" s="140"/>
    </row>
    <row r="27" spans="1:6" ht="12.75">
      <c r="A27" s="33"/>
      <c r="B27" s="34" t="s">
        <v>698</v>
      </c>
      <c r="C27" s="134">
        <v>401</v>
      </c>
      <c r="D27" s="141">
        <f>550467338+4928573-4231</f>
        <v>555391680</v>
      </c>
      <c r="E27" s="141">
        <v>611598717</v>
      </c>
      <c r="F27" s="141"/>
    </row>
    <row r="28" spans="1:5" ht="19.5">
      <c r="A28" s="48" t="s">
        <v>473</v>
      </c>
      <c r="B28" s="34" t="s">
        <v>699</v>
      </c>
      <c r="C28" s="134">
        <v>403</v>
      </c>
      <c r="D28" s="141"/>
      <c r="E28" s="141"/>
    </row>
    <row r="29" spans="1:5" ht="12.75">
      <c r="A29" s="33"/>
      <c r="B29" s="34" t="s">
        <v>700</v>
      </c>
      <c r="C29" s="134">
        <v>404</v>
      </c>
      <c r="D29" s="141"/>
      <c r="E29" s="141">
        <v>7238438</v>
      </c>
    </row>
    <row r="30" spans="1:5" ht="12.75">
      <c r="A30" s="33"/>
      <c r="B30" s="34" t="s">
        <v>702</v>
      </c>
      <c r="C30" s="134">
        <v>42</v>
      </c>
      <c r="D30" s="141"/>
      <c r="E30" s="141"/>
    </row>
    <row r="31" spans="1:5" ht="12.75">
      <c r="A31" s="33"/>
      <c r="B31" s="34" t="s">
        <v>703</v>
      </c>
      <c r="C31" s="134">
        <v>421</v>
      </c>
      <c r="D31" s="141"/>
      <c r="E31" s="141"/>
    </row>
    <row r="32" spans="1:5" ht="12.75">
      <c r="A32" s="33"/>
      <c r="B32" s="34" t="s">
        <v>704</v>
      </c>
      <c r="C32" s="134">
        <v>423</v>
      </c>
      <c r="D32" s="141"/>
      <c r="E32" s="141"/>
    </row>
    <row r="33" spans="1:5" ht="12.75">
      <c r="A33" s="33"/>
      <c r="B33" s="34" t="s">
        <v>705</v>
      </c>
      <c r="C33" s="134">
        <v>43</v>
      </c>
      <c r="D33" s="141"/>
      <c r="E33" s="141"/>
    </row>
    <row r="34" spans="1:5" ht="12.75">
      <c r="A34" s="33"/>
      <c r="B34" s="34" t="s">
        <v>706</v>
      </c>
      <c r="C34" s="134">
        <v>431</v>
      </c>
      <c r="D34" s="141">
        <v>2996904</v>
      </c>
      <c r="E34" s="141">
        <v>2828180</v>
      </c>
    </row>
    <row r="35" spans="1:5" ht="12.75">
      <c r="A35" s="33"/>
      <c r="B35" s="34" t="s">
        <v>707</v>
      </c>
      <c r="C35" s="134">
        <v>437</v>
      </c>
      <c r="D35" s="141"/>
      <c r="E35" s="141"/>
    </row>
    <row r="36" spans="1:5" ht="12.75">
      <c r="A36" s="33"/>
      <c r="B36" s="34" t="s">
        <v>708</v>
      </c>
      <c r="C36" s="134">
        <v>438</v>
      </c>
      <c r="D36" s="141">
        <v>172986</v>
      </c>
      <c r="E36" s="141">
        <v>172986</v>
      </c>
    </row>
    <row r="37" spans="1:5" ht="12.75">
      <c r="A37" s="33"/>
      <c r="B37" s="34" t="s">
        <v>709</v>
      </c>
      <c r="C37" s="134">
        <v>44</v>
      </c>
      <c r="D37" s="141"/>
      <c r="E37" s="141"/>
    </row>
    <row r="38" spans="1:5" ht="12.75">
      <c r="A38" s="33"/>
      <c r="B38" s="34" t="s">
        <v>710</v>
      </c>
      <c r="C38" s="134">
        <v>441</v>
      </c>
      <c r="D38" s="141"/>
      <c r="E38" s="141">
        <v>4006922</v>
      </c>
    </row>
    <row r="39" spans="1:5" ht="12.75">
      <c r="A39" s="33"/>
      <c r="B39" s="34" t="s">
        <v>711</v>
      </c>
      <c r="C39" s="134">
        <v>442</v>
      </c>
      <c r="D39" s="141">
        <v>798069</v>
      </c>
      <c r="E39" s="141">
        <v>747765</v>
      </c>
    </row>
    <row r="40" spans="1:5" ht="12.75">
      <c r="A40" s="33"/>
      <c r="B40" s="34" t="s">
        <v>712</v>
      </c>
      <c r="C40" s="134">
        <v>443</v>
      </c>
      <c r="D40" s="141"/>
      <c r="E40" s="141">
        <v>3386220</v>
      </c>
    </row>
    <row r="41" spans="1:5" ht="12.75">
      <c r="A41" s="33"/>
      <c r="B41" s="34" t="s">
        <v>713</v>
      </c>
      <c r="C41" s="134">
        <v>444</v>
      </c>
      <c r="D41" s="141">
        <v>30282</v>
      </c>
      <c r="E41" s="141"/>
    </row>
    <row r="42" spans="1:5" ht="12.75">
      <c r="A42" s="33"/>
      <c r="B42" s="34" t="s">
        <v>714</v>
      </c>
      <c r="C42" s="134">
        <v>4453</v>
      </c>
      <c r="D42" s="141"/>
      <c r="E42" s="141">
        <v>20530630</v>
      </c>
    </row>
    <row r="43" spans="1:5" ht="12.75">
      <c r="A43" s="33"/>
      <c r="B43" s="34" t="s">
        <v>0</v>
      </c>
      <c r="C43" s="35">
        <v>447</v>
      </c>
      <c r="D43" s="141">
        <v>6354141</v>
      </c>
      <c r="E43" s="141"/>
    </row>
    <row r="44" spans="1:5" ht="12.75">
      <c r="A44" s="33"/>
      <c r="B44" s="34" t="s">
        <v>1</v>
      </c>
      <c r="C44" s="35">
        <v>448</v>
      </c>
      <c r="D44" s="141"/>
      <c r="E44" s="141"/>
    </row>
    <row r="45" spans="1:5" ht="12.75">
      <c r="A45" s="33"/>
      <c r="B45" s="34" t="s">
        <v>2</v>
      </c>
      <c r="C45" s="35">
        <v>449</v>
      </c>
      <c r="D45" s="141"/>
      <c r="E45" s="141"/>
    </row>
    <row r="46" spans="1:5" ht="12.75">
      <c r="A46" s="33"/>
      <c r="B46" s="34" t="s">
        <v>3</v>
      </c>
      <c r="C46" s="35">
        <v>455</v>
      </c>
      <c r="D46" s="141">
        <f>273504605+1556877</f>
        <v>275061482</v>
      </c>
      <c r="E46" s="141">
        <v>559318927</v>
      </c>
    </row>
    <row r="47" spans="1:5" ht="12.75">
      <c r="A47" s="33"/>
      <c r="B47" s="34" t="s">
        <v>4</v>
      </c>
      <c r="C47" s="35">
        <v>456</v>
      </c>
      <c r="D47" s="141"/>
      <c r="E47" s="141"/>
    </row>
    <row r="48" spans="1:5" ht="12.75">
      <c r="A48" s="33"/>
      <c r="B48" s="34" t="s">
        <v>5</v>
      </c>
      <c r="C48" s="35">
        <v>457</v>
      </c>
      <c r="D48" s="141">
        <v>27500000</v>
      </c>
      <c r="E48" s="141">
        <v>7125000</v>
      </c>
    </row>
    <row r="49" spans="1:5" ht="12.75">
      <c r="A49" s="33"/>
      <c r="B49" s="34" t="s">
        <v>6</v>
      </c>
      <c r="C49" s="35">
        <v>460</v>
      </c>
      <c r="D49" s="141"/>
      <c r="E49" s="141"/>
    </row>
    <row r="50" spans="1:5" ht="12.75">
      <c r="A50" s="33"/>
      <c r="B50" s="34" t="s">
        <v>7</v>
      </c>
      <c r="C50" s="35">
        <v>464</v>
      </c>
      <c r="D50" s="141"/>
      <c r="E50" s="141"/>
    </row>
    <row r="51" spans="1:5" ht="12.75">
      <c r="A51" s="33"/>
      <c r="B51" s="34" t="s">
        <v>8</v>
      </c>
      <c r="C51" s="35">
        <v>467</v>
      </c>
      <c r="D51" s="141">
        <f>14140844+1505303</f>
        <v>15646147</v>
      </c>
      <c r="E51" s="141">
        <f>1556877+24729588</f>
        <v>26286465</v>
      </c>
    </row>
    <row r="52" spans="1:5" ht="12.75">
      <c r="A52" s="135"/>
      <c r="B52" s="65" t="s">
        <v>9</v>
      </c>
      <c r="C52" s="136">
        <v>477</v>
      </c>
      <c r="D52" s="137"/>
      <c r="E52" s="137"/>
    </row>
    <row r="53" spans="1:5" ht="13.5" thickBot="1">
      <c r="A53" s="135"/>
      <c r="B53" s="65" t="s">
        <v>10</v>
      </c>
      <c r="C53" s="136">
        <v>409</v>
      </c>
      <c r="D53" s="137"/>
      <c r="E53" s="137"/>
    </row>
    <row r="54" spans="1:5" ht="14.25" thickBot="1" thickTop="1">
      <c r="A54" s="54"/>
      <c r="B54" s="54" t="s">
        <v>11</v>
      </c>
      <c r="C54" s="101"/>
      <c r="D54" s="130">
        <f>SUM(D25:D53)</f>
        <v>883951691</v>
      </c>
      <c r="E54" s="130">
        <f>SUM(E25:E53)</f>
        <v>1243240250</v>
      </c>
    </row>
    <row r="55" spans="1:5" ht="14.25" thickBot="1" thickTop="1">
      <c r="A55" s="54">
        <v>4</v>
      </c>
      <c r="B55" s="54" t="s">
        <v>12</v>
      </c>
      <c r="C55" s="101"/>
      <c r="D55" s="130">
        <f>SUM(D56:D59)</f>
        <v>0</v>
      </c>
      <c r="E55" s="130">
        <f>SUM(E56:E59)</f>
        <v>0</v>
      </c>
    </row>
    <row r="56" spans="1:5" ht="13.5" thickTop="1">
      <c r="A56" s="138"/>
      <c r="B56" s="76" t="s">
        <v>13</v>
      </c>
      <c r="C56" s="102">
        <v>466</v>
      </c>
      <c r="D56" s="142"/>
      <c r="E56" s="142"/>
    </row>
    <row r="57" spans="1:5" ht="12.75">
      <c r="A57" s="33"/>
      <c r="B57" s="34" t="s">
        <v>14</v>
      </c>
      <c r="C57" s="35">
        <v>4661</v>
      </c>
      <c r="D57" s="143"/>
      <c r="E57" s="143"/>
    </row>
    <row r="58" spans="1:5" ht="12.75">
      <c r="A58" s="33"/>
      <c r="B58" s="34" t="s">
        <v>15</v>
      </c>
      <c r="C58" s="134">
        <v>484</v>
      </c>
      <c r="D58" s="143"/>
      <c r="E58" s="143"/>
    </row>
    <row r="59" spans="1:5" ht="13.5" thickBot="1">
      <c r="A59" s="135"/>
      <c r="B59" s="65" t="s">
        <v>16</v>
      </c>
      <c r="C59" s="136">
        <v>488</v>
      </c>
      <c r="D59" s="144"/>
      <c r="E59" s="144"/>
    </row>
    <row r="60" spans="1:5" ht="14.25" thickBot="1" thickTop="1">
      <c r="A60" s="54">
        <v>5</v>
      </c>
      <c r="B60" s="54" t="s">
        <v>17</v>
      </c>
      <c r="C60" s="101">
        <v>463</v>
      </c>
      <c r="D60" s="145"/>
      <c r="E60" s="145"/>
    </row>
    <row r="61" spans="1:5" ht="16.5" thickBot="1" thickTop="1">
      <c r="A61" s="146"/>
      <c r="B61" s="85" t="s">
        <v>18</v>
      </c>
      <c r="C61" s="84"/>
      <c r="D61" s="107">
        <f>+D6+D24+D54+D55+D60</f>
        <v>1511588215</v>
      </c>
      <c r="E61" s="107">
        <f>+E6+E24+E54+E55+E60</f>
        <v>1832678404</v>
      </c>
    </row>
    <row r="62" spans="1:5" ht="15" thickBot="1" thickTop="1">
      <c r="A62" s="123" t="s">
        <v>421</v>
      </c>
      <c r="B62" s="124" t="s">
        <v>19</v>
      </c>
      <c r="C62" s="125"/>
      <c r="D62" s="126"/>
      <c r="E62" s="127"/>
    </row>
    <row r="63" spans="1:5" ht="13.5" thickTop="1">
      <c r="A63" s="131" t="s">
        <v>421</v>
      </c>
      <c r="B63" s="57" t="s">
        <v>19</v>
      </c>
      <c r="C63" s="57"/>
      <c r="D63" s="133"/>
      <c r="E63" s="133"/>
    </row>
    <row r="64" spans="1:5" ht="12.75">
      <c r="A64" s="33">
        <v>1</v>
      </c>
      <c r="B64" s="34" t="s">
        <v>20</v>
      </c>
      <c r="C64" s="34"/>
      <c r="D64" s="143"/>
      <c r="E64" s="143"/>
    </row>
    <row r="65" spans="1:5" ht="12.75">
      <c r="A65" s="33"/>
      <c r="B65" s="34" t="s">
        <v>21</v>
      </c>
      <c r="C65" s="35"/>
      <c r="D65" s="143"/>
      <c r="E65" s="143"/>
    </row>
    <row r="66" spans="1:6" ht="12.75">
      <c r="A66" s="33"/>
      <c r="B66" s="34" t="s">
        <v>22</v>
      </c>
      <c r="C66" s="35">
        <v>4681</v>
      </c>
      <c r="D66" s="143">
        <f>128612765+108969654+13870000</f>
        <v>251452419</v>
      </c>
      <c r="E66" s="143">
        <v>233956778</v>
      </c>
      <c r="F66" s="114"/>
    </row>
    <row r="67" spans="1:5" ht="12.75">
      <c r="A67" s="33"/>
      <c r="B67" s="34" t="s">
        <v>23</v>
      </c>
      <c r="C67" s="35">
        <v>4688</v>
      </c>
      <c r="D67" s="143"/>
      <c r="E67" s="143"/>
    </row>
    <row r="68" spans="1:5" ht="12.75">
      <c r="A68" s="33"/>
      <c r="B68" s="34" t="s">
        <v>24</v>
      </c>
      <c r="C68" s="35">
        <v>1611</v>
      </c>
      <c r="D68" s="143"/>
      <c r="E68" s="143"/>
    </row>
    <row r="69" spans="1:5" ht="12.75">
      <c r="A69" s="33"/>
      <c r="B69" s="34" t="s">
        <v>25</v>
      </c>
      <c r="C69" s="35">
        <v>1618</v>
      </c>
      <c r="D69" s="143"/>
      <c r="E69" s="143"/>
    </row>
    <row r="70" spans="1:5" ht="12.75">
      <c r="A70" s="33"/>
      <c r="B70" s="34" t="s">
        <v>26</v>
      </c>
      <c r="C70" s="35">
        <v>4683</v>
      </c>
      <c r="D70" s="143"/>
      <c r="E70" s="143"/>
    </row>
    <row r="71" spans="1:5" ht="12.75">
      <c r="A71" s="33"/>
      <c r="B71" s="34" t="s">
        <v>27</v>
      </c>
      <c r="C71" s="35">
        <v>46831</v>
      </c>
      <c r="D71" s="143"/>
      <c r="E71" s="143"/>
    </row>
    <row r="72" spans="1:5" ht="13.5" thickBot="1">
      <c r="A72" s="135"/>
      <c r="B72" s="65" t="s">
        <v>28</v>
      </c>
      <c r="C72" s="100">
        <v>46832</v>
      </c>
      <c r="D72" s="144"/>
      <c r="E72" s="144"/>
    </row>
    <row r="73" spans="1:5" ht="14.25" thickBot="1" thickTop="1">
      <c r="A73" s="54"/>
      <c r="B73" s="54" t="s">
        <v>29</v>
      </c>
      <c r="C73" s="101"/>
      <c r="D73" s="130">
        <f>SUM(D64:D72)</f>
        <v>251452419</v>
      </c>
      <c r="E73" s="130">
        <f>SUM(E64:E72)</f>
        <v>233956778</v>
      </c>
    </row>
    <row r="74" spans="1:5" ht="13.5" thickTop="1">
      <c r="A74" s="138">
        <v>2</v>
      </c>
      <c r="B74" s="76" t="s">
        <v>30</v>
      </c>
      <c r="C74" s="139"/>
      <c r="D74" s="142"/>
      <c r="E74" s="142"/>
    </row>
    <row r="75" spans="1:5" ht="12.75">
      <c r="A75" s="33"/>
      <c r="B75" s="34" t="s">
        <v>31</v>
      </c>
      <c r="C75" s="35">
        <v>451</v>
      </c>
      <c r="D75" s="143"/>
      <c r="E75" s="143"/>
    </row>
    <row r="76" spans="1:5" ht="12.75">
      <c r="A76" s="33"/>
      <c r="B76" s="34" t="s">
        <v>32</v>
      </c>
      <c r="C76" s="35">
        <v>455</v>
      </c>
      <c r="D76" s="143"/>
      <c r="E76" s="143"/>
    </row>
    <row r="77" spans="1:5" ht="12.75">
      <c r="A77" s="33"/>
      <c r="B77" s="34" t="s">
        <v>33</v>
      </c>
      <c r="C77" s="35">
        <v>456</v>
      </c>
      <c r="D77" s="143"/>
      <c r="E77" s="143"/>
    </row>
    <row r="78" spans="1:5" ht="12.75">
      <c r="A78" s="33"/>
      <c r="B78" s="34" t="s">
        <v>5</v>
      </c>
      <c r="C78" s="35">
        <v>457</v>
      </c>
      <c r="D78" s="143"/>
      <c r="E78" s="143"/>
    </row>
    <row r="79" spans="1:5" ht="12.75">
      <c r="A79" s="33"/>
      <c r="B79" s="34" t="s">
        <v>34</v>
      </c>
      <c r="C79" s="35">
        <v>464</v>
      </c>
      <c r="D79" s="143"/>
      <c r="E79" s="143"/>
    </row>
    <row r="80" spans="1:5" ht="12.75">
      <c r="A80" s="33"/>
      <c r="B80" s="34" t="s">
        <v>8</v>
      </c>
      <c r="C80" s="35">
        <v>467</v>
      </c>
      <c r="D80" s="143"/>
      <c r="E80" s="143"/>
    </row>
    <row r="81" spans="1:5" ht="12.75">
      <c r="A81" s="33"/>
      <c r="B81" s="34" t="s">
        <v>698</v>
      </c>
      <c r="C81" s="35">
        <v>401</v>
      </c>
      <c r="D81" s="143"/>
      <c r="E81" s="143"/>
    </row>
    <row r="82" spans="1:5" ht="12.75">
      <c r="A82" s="33"/>
      <c r="B82" s="34" t="s">
        <v>699</v>
      </c>
      <c r="C82" s="35">
        <v>403</v>
      </c>
      <c r="D82" s="143"/>
      <c r="E82" s="143"/>
    </row>
    <row r="83" spans="1:5" ht="12.75">
      <c r="A83" s="33"/>
      <c r="B83" s="34" t="s">
        <v>35</v>
      </c>
      <c r="C83" s="35">
        <v>404</v>
      </c>
      <c r="D83" s="143"/>
      <c r="E83" s="143"/>
    </row>
    <row r="84" spans="1:5" ht="13.5" thickBot="1">
      <c r="A84" s="135"/>
      <c r="B84" s="65" t="s">
        <v>36</v>
      </c>
      <c r="C84" s="100">
        <v>409</v>
      </c>
      <c r="D84" s="144"/>
      <c r="E84" s="144"/>
    </row>
    <row r="85" spans="1:5" ht="14.25" thickBot="1" thickTop="1">
      <c r="A85" s="54"/>
      <c r="B85" s="54" t="s">
        <v>652</v>
      </c>
      <c r="C85" s="101"/>
      <c r="D85" s="130">
        <f>SUM(D75:D84)</f>
        <v>0</v>
      </c>
      <c r="E85" s="130">
        <f>SUM(E75:E84)</f>
        <v>0</v>
      </c>
    </row>
    <row r="86" spans="1:5" ht="13.5" thickTop="1">
      <c r="A86" s="138">
        <v>3</v>
      </c>
      <c r="B86" s="76" t="s">
        <v>37</v>
      </c>
      <c r="C86" s="102">
        <v>463</v>
      </c>
      <c r="D86" s="142"/>
      <c r="E86" s="142"/>
    </row>
    <row r="87" spans="1:5" ht="12.75">
      <c r="A87" s="33">
        <v>4</v>
      </c>
      <c r="B87" s="34" t="s">
        <v>38</v>
      </c>
      <c r="C87" s="35">
        <v>466</v>
      </c>
      <c r="D87" s="143">
        <f>SUM(D88:D89)</f>
        <v>11808687</v>
      </c>
      <c r="E87" s="143">
        <f>SUM(E88:E89)</f>
        <v>18122701</v>
      </c>
    </row>
    <row r="88" spans="1:5" ht="12.75">
      <c r="A88" s="33"/>
      <c r="B88" s="34" t="s">
        <v>39</v>
      </c>
      <c r="C88" s="35">
        <v>484</v>
      </c>
      <c r="D88" s="437">
        <v>11808687</v>
      </c>
      <c r="E88" s="437">
        <v>18122701</v>
      </c>
    </row>
    <row r="89" spans="1:5" ht="12.75">
      <c r="A89" s="33"/>
      <c r="B89" s="34" t="s">
        <v>16</v>
      </c>
      <c r="C89" s="35">
        <v>488</v>
      </c>
      <c r="D89" s="143"/>
      <c r="E89" s="143"/>
    </row>
    <row r="90" spans="1:5" ht="15.75" thickBot="1">
      <c r="A90" s="146"/>
      <c r="B90" s="85" t="s">
        <v>40</v>
      </c>
      <c r="C90" s="84"/>
      <c r="D90" s="147">
        <f>+D73+D85+D86+D87</f>
        <v>263261106</v>
      </c>
      <c r="E90" s="147">
        <f>+E73+E85+E86+E87</f>
        <v>252079479</v>
      </c>
    </row>
    <row r="91" spans="1:5" ht="16.5" thickBot="1" thickTop="1">
      <c r="A91" s="146"/>
      <c r="B91" s="85" t="s">
        <v>41</v>
      </c>
      <c r="C91" s="84"/>
      <c r="D91" s="147">
        <f>+D61+D90</f>
        <v>1774849321</v>
      </c>
      <c r="E91" s="147">
        <f>+E61+E90</f>
        <v>2084757883</v>
      </c>
    </row>
    <row r="92" spans="1:5" ht="14.25" thickTop="1">
      <c r="A92" s="123" t="s">
        <v>422</v>
      </c>
      <c r="B92" s="124" t="s">
        <v>42</v>
      </c>
      <c r="C92" s="125"/>
      <c r="D92" s="126"/>
      <c r="E92" s="127"/>
    </row>
    <row r="93" spans="1:5" ht="12.75">
      <c r="A93" s="33">
        <v>1</v>
      </c>
      <c r="B93" s="148" t="s">
        <v>43</v>
      </c>
      <c r="C93" s="149" t="s">
        <v>44</v>
      </c>
      <c r="D93" s="143"/>
      <c r="E93" s="143"/>
    </row>
    <row r="94" spans="1:5" ht="12.75">
      <c r="A94" s="33">
        <v>2</v>
      </c>
      <c r="B94" s="148" t="s">
        <v>48</v>
      </c>
      <c r="C94" s="150" t="s">
        <v>44</v>
      </c>
      <c r="D94" s="143"/>
      <c r="E94" s="143"/>
    </row>
    <row r="95" spans="1:6" ht="12.75">
      <c r="A95" s="33">
        <v>3</v>
      </c>
      <c r="B95" s="148" t="s">
        <v>49</v>
      </c>
      <c r="C95" s="150" t="s">
        <v>50</v>
      </c>
      <c r="D95" s="143">
        <v>2547196000</v>
      </c>
      <c r="E95" s="143">
        <v>1734836000</v>
      </c>
      <c r="F95" s="439">
        <f>D95-E95</f>
        <v>812360000</v>
      </c>
    </row>
    <row r="96" spans="1:6" ht="12.75">
      <c r="A96" s="33"/>
      <c r="B96" s="148" t="s">
        <v>51</v>
      </c>
      <c r="C96" s="151"/>
      <c r="D96" s="143"/>
      <c r="E96" s="143"/>
      <c r="F96" s="439">
        <f aca="true" t="shared" si="0" ref="F96:F101">D96-E96</f>
        <v>0</v>
      </c>
    </row>
    <row r="97" spans="1:6" ht="12.75">
      <c r="A97" s="33"/>
      <c r="B97" s="148" t="s">
        <v>52</v>
      </c>
      <c r="C97" s="151"/>
      <c r="D97" s="143"/>
      <c r="E97" s="143"/>
      <c r="F97" s="439">
        <f t="shared" si="0"/>
        <v>0</v>
      </c>
    </row>
    <row r="98" spans="1:6" ht="12.75">
      <c r="A98" s="33">
        <v>4</v>
      </c>
      <c r="B98" s="148" t="s">
        <v>53</v>
      </c>
      <c r="C98" s="35">
        <v>104</v>
      </c>
      <c r="D98" s="143"/>
      <c r="E98" s="143"/>
      <c r="F98" s="439">
        <f t="shared" si="0"/>
        <v>0</v>
      </c>
    </row>
    <row r="99" spans="1:6" ht="12.75">
      <c r="A99" s="33">
        <v>5</v>
      </c>
      <c r="B99" s="148" t="s">
        <v>54</v>
      </c>
      <c r="C99" s="35">
        <v>105</v>
      </c>
      <c r="D99" s="143"/>
      <c r="E99" s="143"/>
      <c r="F99" s="439">
        <f t="shared" si="0"/>
        <v>0</v>
      </c>
    </row>
    <row r="100" spans="1:6" ht="12.75">
      <c r="A100" s="33">
        <v>6</v>
      </c>
      <c r="B100" s="148" t="s">
        <v>55</v>
      </c>
      <c r="C100" s="152">
        <v>103</v>
      </c>
      <c r="D100" s="143"/>
      <c r="E100" s="143"/>
      <c r="F100" s="439">
        <f t="shared" si="0"/>
        <v>0</v>
      </c>
    </row>
    <row r="101" spans="1:6" ht="12.75">
      <c r="A101" s="33">
        <v>7</v>
      </c>
      <c r="B101" s="148" t="s">
        <v>56</v>
      </c>
      <c r="C101" s="152">
        <v>106</v>
      </c>
      <c r="D101" s="143">
        <f>SUM(D102:D104)</f>
        <v>43050028</v>
      </c>
      <c r="E101" s="143">
        <f>SUM(E102:E104)</f>
        <v>26855488</v>
      </c>
      <c r="F101" s="439">
        <f t="shared" si="0"/>
        <v>16194540</v>
      </c>
    </row>
    <row r="102" spans="1:6" ht="12.75">
      <c r="A102" s="33"/>
      <c r="B102" s="148" t="s">
        <v>57</v>
      </c>
      <c r="C102" s="35">
        <v>1061</v>
      </c>
      <c r="D102" s="143">
        <v>43050028</v>
      </c>
      <c r="E102" s="143">
        <v>26855488</v>
      </c>
      <c r="F102" s="27">
        <v>30000000</v>
      </c>
    </row>
    <row r="103" spans="1:6" ht="12.75">
      <c r="A103" s="33"/>
      <c r="B103" s="148" t="s">
        <v>58</v>
      </c>
      <c r="C103" s="35">
        <v>1062</v>
      </c>
      <c r="D103" s="143"/>
      <c r="E103" s="143"/>
      <c r="F103" s="440">
        <f>SUM(F95:F102)</f>
        <v>858554540</v>
      </c>
    </row>
    <row r="104" spans="1:5" ht="12.75">
      <c r="A104" s="33"/>
      <c r="B104" s="148" t="s">
        <v>59</v>
      </c>
      <c r="C104" s="35">
        <v>1068</v>
      </c>
      <c r="D104" s="143"/>
      <c r="E104" s="143"/>
    </row>
    <row r="105" spans="1:6" ht="12.75">
      <c r="A105" s="33">
        <v>8</v>
      </c>
      <c r="B105" s="148" t="s">
        <v>60</v>
      </c>
      <c r="C105" s="35">
        <v>107</v>
      </c>
      <c r="D105" s="143">
        <v>32044</v>
      </c>
      <c r="E105" s="143">
        <v>15720</v>
      </c>
      <c r="F105" s="439">
        <f>E106-F103</f>
        <v>-534663676</v>
      </c>
    </row>
    <row r="106" spans="1:5" ht="12.75">
      <c r="A106" s="33">
        <v>9</v>
      </c>
      <c r="B106" s="148" t="s">
        <v>61</v>
      </c>
      <c r="C106" s="35">
        <v>121</v>
      </c>
      <c r="D106" s="437">
        <f>'PASH ANALITIK'!D126</f>
        <v>337973461.64000016</v>
      </c>
      <c r="E106" s="143">
        <v>323890864</v>
      </c>
    </row>
    <row r="107" spans="1:5" ht="12.75">
      <c r="A107" s="33">
        <v>10</v>
      </c>
      <c r="B107" s="148" t="s">
        <v>62</v>
      </c>
      <c r="C107" s="35">
        <v>137</v>
      </c>
      <c r="D107" s="143"/>
      <c r="E107" s="143"/>
    </row>
    <row r="108" spans="1:5" ht="13.5" thickBot="1">
      <c r="A108" s="135">
        <v>11</v>
      </c>
      <c r="B108" s="153" t="s">
        <v>63</v>
      </c>
      <c r="C108" s="100">
        <v>151</v>
      </c>
      <c r="D108" s="144"/>
      <c r="E108" s="144"/>
    </row>
    <row r="109" spans="1:6" ht="16.5" thickBot="1" thickTop="1">
      <c r="A109" s="154"/>
      <c r="B109" s="155" t="s">
        <v>64</v>
      </c>
      <c r="C109" s="154"/>
      <c r="D109" s="156">
        <f>D95+D98+D99+D101+D105+D106+D107+D108</f>
        <v>2928251533.6400003</v>
      </c>
      <c r="E109" s="156">
        <f>E95+E98+E99+E101+E105+E106+E107+E108</f>
        <v>2085598072</v>
      </c>
      <c r="F109" s="114"/>
    </row>
    <row r="110" spans="1:6" ht="21" thickBot="1" thickTop="1">
      <c r="A110" s="157"/>
      <c r="B110" s="109" t="s">
        <v>65</v>
      </c>
      <c r="C110" s="108"/>
      <c r="D110" s="158">
        <f>+D91+D109</f>
        <v>4703100854.64</v>
      </c>
      <c r="E110" s="158">
        <f>+E91+E109</f>
        <v>4170355955</v>
      </c>
      <c r="F110" s="114"/>
    </row>
    <row r="111" ht="13.5" thickTop="1">
      <c r="G111" s="114"/>
    </row>
    <row r="112" ht="12.75">
      <c r="D112" s="436">
        <f>'AKTIVI ANALITIK'!D185-'PASIVI ANALITIK'!D110</f>
        <v>-0.1679849624633789</v>
      </c>
    </row>
    <row r="113" ht="12.75">
      <c r="D113" s="436"/>
    </row>
    <row r="115" ht="12.75">
      <c r="E115" s="159"/>
    </row>
    <row r="118" spans="1:5" ht="18">
      <c r="A118" s="468"/>
      <c r="B118" s="468"/>
      <c r="C118" s="115"/>
      <c r="D118" s="469"/>
      <c r="E118" s="469"/>
    </row>
    <row r="119" spans="1:5" ht="18">
      <c r="A119" s="468"/>
      <c r="B119" s="468"/>
      <c r="C119" s="115"/>
      <c r="D119" s="469"/>
      <c r="E119" s="469"/>
    </row>
  </sheetData>
  <sheetProtection password="CA0B" sheet="1" objects="1" scenarios="1" selectLockedCells="1" selectUnlockedCells="1"/>
  <mergeCells count="4">
    <mergeCell ref="A118:B118"/>
    <mergeCell ref="D118:E118"/>
    <mergeCell ref="A119:B119"/>
    <mergeCell ref="D119:E119"/>
  </mergeCells>
  <printOptions horizontalCentered="1"/>
  <pageMargins left="0.31496062992125984" right="0.11811023622047245" top="0.9055118110236221" bottom="0.5118110236220472" header="0.5118110236220472" footer="0.5118110236220472"/>
  <pageSetup orientation="portrait" scale="75" r:id="rId3"/>
  <headerFooter alignWithMargins="0">
    <oddHeader>&amp;LSHOQERIA "ALFA"SHA
VRISERA-GJIROKASTER
NIPTI J 62903630 D</oddHeader>
  </headerFooter>
  <colBreaks count="2" manualBreakCount="2">
    <brk id="5" max="65535" man="1"/>
    <brk id="7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3">
      <selection activeCell="B31" sqref="B31"/>
    </sheetView>
  </sheetViews>
  <sheetFormatPr defaultColWidth="9.140625" defaultRowHeight="12.75"/>
  <cols>
    <col min="1" max="1" width="57.421875" style="0" customWidth="1"/>
    <col min="2" max="2" width="18.00390625" style="0" customWidth="1"/>
    <col min="3" max="3" width="8.421875" style="0" customWidth="1"/>
    <col min="4" max="4" width="9.421875" style="0" customWidth="1"/>
    <col min="5" max="5" width="14.140625" style="0" customWidth="1"/>
    <col min="6" max="6" width="9.8515625" style="0" customWidth="1"/>
    <col min="7" max="7" width="13.57421875" style="0" customWidth="1"/>
    <col min="8" max="8" width="13.28125" style="0" customWidth="1"/>
    <col min="9" max="9" width="10.28125" style="0" customWidth="1"/>
    <col min="10" max="10" width="16.8515625" style="0" customWidth="1"/>
  </cols>
  <sheetData>
    <row r="1" ht="13.5" thickBot="1"/>
    <row r="2" spans="1:10" ht="13.5" thickBot="1">
      <c r="A2" s="473" t="s">
        <v>318</v>
      </c>
      <c r="B2" s="476" t="s">
        <v>319</v>
      </c>
      <c r="C2" s="477"/>
      <c r="D2" s="477"/>
      <c r="E2" s="477"/>
      <c r="F2" s="477"/>
      <c r="G2" s="477"/>
      <c r="H2" s="477"/>
      <c r="I2" s="477"/>
      <c r="J2" s="478"/>
    </row>
    <row r="3" spans="1:11" ht="12.75" customHeight="1">
      <c r="A3" s="474"/>
      <c r="B3" s="470" t="s">
        <v>320</v>
      </c>
      <c r="C3" s="470" t="s">
        <v>321</v>
      </c>
      <c r="D3" s="470" t="s">
        <v>322</v>
      </c>
      <c r="E3" s="470" t="s">
        <v>323</v>
      </c>
      <c r="F3" s="470" t="s">
        <v>324</v>
      </c>
      <c r="G3" s="470" t="s">
        <v>325</v>
      </c>
      <c r="H3" s="470" t="s">
        <v>326</v>
      </c>
      <c r="I3" s="470" t="s">
        <v>327</v>
      </c>
      <c r="J3" s="470" t="s">
        <v>328</v>
      </c>
      <c r="K3" s="338"/>
    </row>
    <row r="4" spans="1:11" ht="12.75">
      <c r="A4" s="474"/>
      <c r="B4" s="471"/>
      <c r="C4" s="471"/>
      <c r="D4" s="471"/>
      <c r="E4" s="471"/>
      <c r="F4" s="471"/>
      <c r="G4" s="471"/>
      <c r="H4" s="471"/>
      <c r="I4" s="471"/>
      <c r="J4" s="471"/>
      <c r="K4" s="338"/>
    </row>
    <row r="5" spans="1:11" ht="12.75">
      <c r="A5" s="474"/>
      <c r="B5" s="471"/>
      <c r="C5" s="471"/>
      <c r="D5" s="471"/>
      <c r="E5" s="471"/>
      <c r="F5" s="471"/>
      <c r="G5" s="471"/>
      <c r="H5" s="471"/>
      <c r="I5" s="471"/>
      <c r="J5" s="471"/>
      <c r="K5" s="338"/>
    </row>
    <row r="6" spans="1:11" ht="12.75">
      <c r="A6" s="474"/>
      <c r="B6" s="471"/>
      <c r="C6" s="471"/>
      <c r="D6" s="471"/>
      <c r="E6" s="471"/>
      <c r="F6" s="471"/>
      <c r="G6" s="471"/>
      <c r="H6" s="471"/>
      <c r="I6" s="471"/>
      <c r="J6" s="471"/>
      <c r="K6" s="338"/>
    </row>
    <row r="7" spans="1:11" ht="12.75">
      <c r="A7" s="474"/>
      <c r="B7" s="471"/>
      <c r="C7" s="471"/>
      <c r="D7" s="471"/>
      <c r="E7" s="471"/>
      <c r="F7" s="471"/>
      <c r="G7" s="471"/>
      <c r="H7" s="471"/>
      <c r="I7" s="471"/>
      <c r="J7" s="471"/>
      <c r="K7" s="338"/>
    </row>
    <row r="8" spans="1:11" ht="13.5" thickBot="1">
      <c r="A8" s="475"/>
      <c r="B8" s="472"/>
      <c r="C8" s="472"/>
      <c r="D8" s="472"/>
      <c r="E8" s="472"/>
      <c r="F8" s="472"/>
      <c r="G8" s="472"/>
      <c r="H8" s="472"/>
      <c r="I8" s="472"/>
      <c r="J8" s="472"/>
      <c r="K8" s="338"/>
    </row>
    <row r="9" spans="1:12" s="342" customFormat="1" ht="13.5">
      <c r="A9" s="339" t="s">
        <v>121</v>
      </c>
      <c r="B9" s="340">
        <f>'PASIVI ANALITIK'!E95</f>
        <v>1734836000</v>
      </c>
      <c r="C9" s="340"/>
      <c r="D9" s="340"/>
      <c r="E9" s="340">
        <f>'PASIVI ANALITIK'!E101</f>
        <v>26855488</v>
      </c>
      <c r="F9" s="340"/>
      <c r="G9" s="340">
        <v>323906584</v>
      </c>
      <c r="H9" s="340"/>
      <c r="I9" s="340"/>
      <c r="J9" s="340">
        <f>SUM(B9:I9)</f>
        <v>2085598072</v>
      </c>
      <c r="K9" s="341"/>
      <c r="L9" s="341"/>
    </row>
    <row r="10" spans="1:12" s="342" customFormat="1" ht="12.75">
      <c r="A10" s="343" t="s">
        <v>329</v>
      </c>
      <c r="B10" s="344"/>
      <c r="C10" s="344"/>
      <c r="D10" s="340"/>
      <c r="E10" s="344"/>
      <c r="F10" s="340"/>
      <c r="G10" s="340"/>
      <c r="H10" s="340"/>
      <c r="I10" s="340"/>
      <c r="J10" s="340">
        <f aca="true" t="shared" si="0" ref="J10:J27">SUM(B10:I10)</f>
        <v>0</v>
      </c>
      <c r="K10" s="341"/>
      <c r="L10" s="341"/>
    </row>
    <row r="11" spans="1:12" s="342" customFormat="1" ht="13.5">
      <c r="A11" s="345" t="s">
        <v>330</v>
      </c>
      <c r="B11" s="344"/>
      <c r="C11" s="344"/>
      <c r="D11" s="340"/>
      <c r="E11" s="344"/>
      <c r="F11" s="340"/>
      <c r="G11" s="340"/>
      <c r="H11" s="344"/>
      <c r="I11" s="344"/>
      <c r="J11" s="340">
        <f t="shared" si="0"/>
        <v>0</v>
      </c>
      <c r="K11" s="341"/>
      <c r="L11" s="341"/>
    </row>
    <row r="12" spans="1:12" s="342" customFormat="1" ht="12.75">
      <c r="A12" s="343" t="s">
        <v>331</v>
      </c>
      <c r="B12" s="344"/>
      <c r="C12" s="344"/>
      <c r="D12" s="344"/>
      <c r="E12" s="344"/>
      <c r="F12" s="344"/>
      <c r="G12" s="344"/>
      <c r="H12" s="344"/>
      <c r="I12" s="344"/>
      <c r="J12" s="340">
        <f t="shared" si="0"/>
        <v>0</v>
      </c>
      <c r="K12" s="341"/>
      <c r="L12" s="341"/>
    </row>
    <row r="13" spans="1:12" s="342" customFormat="1" ht="12.75">
      <c r="A13" s="343" t="s">
        <v>332</v>
      </c>
      <c r="B13" s="344"/>
      <c r="C13" s="344"/>
      <c r="D13" s="344"/>
      <c r="E13" s="344"/>
      <c r="F13" s="344"/>
      <c r="G13" s="344"/>
      <c r="H13" s="344"/>
      <c r="I13" s="344"/>
      <c r="J13" s="340">
        <f t="shared" si="0"/>
        <v>0</v>
      </c>
      <c r="K13" s="341"/>
      <c r="L13" s="341"/>
    </row>
    <row r="14" spans="1:12" s="342" customFormat="1" ht="12.75">
      <c r="A14" s="343" t="s">
        <v>333</v>
      </c>
      <c r="B14" s="344"/>
      <c r="C14" s="344"/>
      <c r="D14" s="344"/>
      <c r="E14" s="344"/>
      <c r="F14" s="344"/>
      <c r="G14" s="344"/>
      <c r="H14" s="344"/>
      <c r="I14" s="344"/>
      <c r="J14" s="340">
        <f t="shared" si="0"/>
        <v>0</v>
      </c>
      <c r="K14" s="341"/>
      <c r="L14" s="341"/>
    </row>
    <row r="15" spans="1:12" s="342" customFormat="1" ht="12.75">
      <c r="A15" s="343" t="s">
        <v>334</v>
      </c>
      <c r="B15" s="344"/>
      <c r="C15" s="344"/>
      <c r="D15" s="344"/>
      <c r="E15" s="344"/>
      <c r="F15" s="344"/>
      <c r="G15" s="344"/>
      <c r="H15" s="344"/>
      <c r="I15" s="344"/>
      <c r="J15" s="340">
        <f t="shared" si="0"/>
        <v>0</v>
      </c>
      <c r="K15" s="341"/>
      <c r="L15" s="341"/>
    </row>
    <row r="16" spans="1:12" s="342" customFormat="1" ht="12.75">
      <c r="A16" s="343" t="s">
        <v>335</v>
      </c>
      <c r="B16" s="344"/>
      <c r="C16" s="344"/>
      <c r="D16" s="344"/>
      <c r="E16" s="344"/>
      <c r="F16" s="344"/>
      <c r="G16" s="344"/>
      <c r="H16" s="344"/>
      <c r="I16" s="344"/>
      <c r="J16" s="340">
        <f t="shared" si="0"/>
        <v>0</v>
      </c>
      <c r="K16" s="341"/>
      <c r="L16" s="341"/>
    </row>
    <row r="17" spans="1:12" s="342" customFormat="1" ht="12.75">
      <c r="A17" s="343" t="s">
        <v>336</v>
      </c>
      <c r="B17" s="344"/>
      <c r="C17" s="344"/>
      <c r="D17" s="344"/>
      <c r="E17" s="344"/>
      <c r="F17" s="344"/>
      <c r="G17" s="344"/>
      <c r="H17" s="344"/>
      <c r="I17" s="344"/>
      <c r="J17" s="340">
        <f t="shared" si="0"/>
        <v>0</v>
      </c>
      <c r="K17" s="341"/>
      <c r="L17" s="341"/>
    </row>
    <row r="18" spans="1:12" s="342" customFormat="1" ht="13.5">
      <c r="A18" s="339" t="s">
        <v>489</v>
      </c>
      <c r="B18" s="340">
        <f aca="true" t="shared" si="1" ref="B18:H18">+B9</f>
        <v>1734836000</v>
      </c>
      <c r="C18" s="340">
        <f t="shared" si="1"/>
        <v>0</v>
      </c>
      <c r="D18" s="340">
        <f t="shared" si="1"/>
        <v>0</v>
      </c>
      <c r="E18" s="340">
        <f t="shared" si="1"/>
        <v>26855488</v>
      </c>
      <c r="F18" s="340">
        <f t="shared" si="1"/>
        <v>0</v>
      </c>
      <c r="G18" s="340">
        <f t="shared" si="1"/>
        <v>323906584</v>
      </c>
      <c r="H18" s="340">
        <f t="shared" si="1"/>
        <v>0</v>
      </c>
      <c r="I18" s="344"/>
      <c r="J18" s="340">
        <f t="shared" si="0"/>
        <v>2085598072</v>
      </c>
      <c r="K18" s="341"/>
      <c r="L18" s="341"/>
    </row>
    <row r="19" spans="1:12" s="342" customFormat="1" ht="12.75">
      <c r="A19" s="343" t="s">
        <v>337</v>
      </c>
      <c r="B19" s="344"/>
      <c r="C19" s="344"/>
      <c r="D19" s="344"/>
      <c r="E19" s="344"/>
      <c r="F19" s="340"/>
      <c r="G19" s="340"/>
      <c r="H19" s="344"/>
      <c r="I19" s="344"/>
      <c r="J19" s="340">
        <f t="shared" si="0"/>
        <v>0</v>
      </c>
      <c r="K19" s="341"/>
      <c r="L19" s="341"/>
    </row>
    <row r="20" spans="1:12" s="342" customFormat="1" ht="12.75">
      <c r="A20" s="343" t="s">
        <v>331</v>
      </c>
      <c r="B20" s="344"/>
      <c r="C20" s="344"/>
      <c r="D20" s="344"/>
      <c r="E20" s="344"/>
      <c r="F20" s="344"/>
      <c r="G20" s="344"/>
      <c r="H20" s="344">
        <f>'PASIVI ANALITIK'!D106</f>
        <v>337973461.64000016</v>
      </c>
      <c r="I20" s="344"/>
      <c r="J20" s="340">
        <f t="shared" si="0"/>
        <v>337973461.64000016</v>
      </c>
      <c r="K20" s="341"/>
      <c r="L20" s="341"/>
    </row>
    <row r="21" spans="1:12" s="342" customFormat="1" ht="12.75">
      <c r="A21" s="343" t="s">
        <v>333</v>
      </c>
      <c r="B21" s="344"/>
      <c r="C21" s="344"/>
      <c r="D21" s="344"/>
      <c r="E21" s="344">
        <f>'PASIVI ANALITIK'!D101-'PASIVI ANALITIK'!E101</f>
        <v>16194540</v>
      </c>
      <c r="F21" s="344"/>
      <c r="G21" s="344">
        <f>-E21</f>
        <v>-16194540</v>
      </c>
      <c r="H21" s="344"/>
      <c r="I21" s="344"/>
      <c r="J21" s="340">
        <f t="shared" si="0"/>
        <v>0</v>
      </c>
      <c r="K21" s="341"/>
      <c r="L21" s="341"/>
    </row>
    <row r="22" spans="1:12" s="342" customFormat="1" ht="12.75">
      <c r="A22" s="343" t="s">
        <v>338</v>
      </c>
      <c r="B22" s="344"/>
      <c r="C22" s="344"/>
      <c r="D22" s="344"/>
      <c r="E22" s="344"/>
      <c r="F22" s="344"/>
      <c r="G22" s="344"/>
      <c r="H22" s="344"/>
      <c r="I22" s="344"/>
      <c r="J22" s="340">
        <f t="shared" si="0"/>
        <v>0</v>
      </c>
      <c r="K22" s="341"/>
      <c r="L22" s="341"/>
    </row>
    <row r="23" spans="1:12" s="342" customFormat="1" ht="12.75">
      <c r="A23" s="343" t="s">
        <v>339</v>
      </c>
      <c r="B23" s="344">
        <v>267680000</v>
      </c>
      <c r="C23" s="344"/>
      <c r="D23" s="344"/>
      <c r="E23" s="340"/>
      <c r="F23" s="344"/>
      <c r="G23" s="340">
        <v>-267680000</v>
      </c>
      <c r="H23" s="340"/>
      <c r="I23" s="344"/>
      <c r="J23" s="340">
        <f t="shared" si="0"/>
        <v>0</v>
      </c>
      <c r="K23" s="341"/>
      <c r="L23" s="341"/>
    </row>
    <row r="24" spans="1:12" s="342" customFormat="1" ht="12.75">
      <c r="A24" s="343" t="s">
        <v>340</v>
      </c>
      <c r="B24" s="344"/>
      <c r="C24" s="344"/>
      <c r="D24" s="344"/>
      <c r="E24" s="344"/>
      <c r="F24" s="344"/>
      <c r="G24" s="340">
        <v>-40000000</v>
      </c>
      <c r="H24" s="340"/>
      <c r="I24" s="344"/>
      <c r="J24" s="340">
        <f t="shared" si="0"/>
        <v>-40000000</v>
      </c>
      <c r="K24" s="341"/>
      <c r="L24" s="341"/>
    </row>
    <row r="25" spans="1:12" s="342" customFormat="1" ht="12.75">
      <c r="A25" s="343" t="s">
        <v>341</v>
      </c>
      <c r="B25" s="344">
        <v>544680000</v>
      </c>
      <c r="C25" s="344"/>
      <c r="D25" s="344"/>
      <c r="E25" s="344"/>
      <c r="F25" s="344"/>
      <c r="G25" s="344"/>
      <c r="H25" s="344"/>
      <c r="I25" s="344"/>
      <c r="J25" s="340">
        <f t="shared" si="0"/>
        <v>544680000</v>
      </c>
      <c r="K25" s="341"/>
      <c r="L25" s="341"/>
    </row>
    <row r="26" spans="1:12" s="342" customFormat="1" ht="13.5">
      <c r="A26" s="345" t="s">
        <v>342</v>
      </c>
      <c r="B26" s="340"/>
      <c r="C26" s="340"/>
      <c r="D26" s="340"/>
      <c r="E26" s="340"/>
      <c r="F26" s="340"/>
      <c r="G26" s="340"/>
      <c r="H26" s="340"/>
      <c r="I26" s="340"/>
      <c r="J26" s="340">
        <f t="shared" si="0"/>
        <v>0</v>
      </c>
      <c r="K26" s="341"/>
      <c r="L26" s="341"/>
    </row>
    <row r="27" spans="1:12" s="342" customFormat="1" ht="13.5">
      <c r="A27" s="339" t="s">
        <v>490</v>
      </c>
      <c r="B27" s="346">
        <f>SUM(B18:B26)</f>
        <v>2547196000</v>
      </c>
      <c r="C27" s="346">
        <f aca="true" t="shared" si="2" ref="C27:I27">SUM(C18:C26)</f>
        <v>0</v>
      </c>
      <c r="D27" s="346">
        <f t="shared" si="2"/>
        <v>0</v>
      </c>
      <c r="E27" s="346">
        <f t="shared" si="2"/>
        <v>43050028</v>
      </c>
      <c r="F27" s="346">
        <f t="shared" si="2"/>
        <v>0</v>
      </c>
      <c r="G27" s="346">
        <f t="shared" si="2"/>
        <v>32044</v>
      </c>
      <c r="H27" s="346">
        <f t="shared" si="2"/>
        <v>337973461.64000016</v>
      </c>
      <c r="I27" s="346">
        <f t="shared" si="2"/>
        <v>0</v>
      </c>
      <c r="J27" s="346">
        <f t="shared" si="0"/>
        <v>2928251533.6400003</v>
      </c>
      <c r="K27" s="341"/>
      <c r="L27" s="341"/>
    </row>
    <row r="28" spans="1:12" ht="12.75">
      <c r="A28" s="347" t="s">
        <v>343</v>
      </c>
      <c r="B28" s="348"/>
      <c r="C28" s="348"/>
      <c r="D28" s="348"/>
      <c r="E28" s="348"/>
      <c r="F28" s="348"/>
      <c r="G28" s="348"/>
      <c r="H28" s="348"/>
      <c r="I28" s="348"/>
      <c r="J28" s="114"/>
      <c r="K28" s="114"/>
      <c r="L28" s="114"/>
    </row>
    <row r="29" spans="1:9" ht="12.75">
      <c r="A29" s="347" t="s">
        <v>344</v>
      </c>
      <c r="B29" s="347"/>
      <c r="C29" s="347"/>
      <c r="D29" s="347"/>
      <c r="E29" s="347"/>
      <c r="F29" s="347"/>
      <c r="G29" s="347"/>
      <c r="H29" s="347"/>
      <c r="I29" s="347"/>
    </row>
    <row r="30" spans="1:9" ht="12.75">
      <c r="A30" s="347" t="s">
        <v>345</v>
      </c>
      <c r="B30" s="347"/>
      <c r="C30" s="347"/>
      <c r="D30" s="347"/>
      <c r="E30" s="347"/>
      <c r="F30" s="347"/>
      <c r="G30" s="347"/>
      <c r="H30" s="347"/>
      <c r="I30" s="347"/>
    </row>
    <row r="31" spans="1:9" ht="12.75">
      <c r="A31" s="347" t="s">
        <v>346</v>
      </c>
      <c r="B31" s="347"/>
      <c r="C31" s="347"/>
      <c r="D31" s="347"/>
      <c r="E31" s="347"/>
      <c r="F31" s="347"/>
      <c r="G31" s="347"/>
      <c r="H31" s="347"/>
      <c r="I31" s="347"/>
    </row>
    <row r="32" spans="1:9" ht="12.75">
      <c r="A32" s="347" t="s">
        <v>347</v>
      </c>
      <c r="B32" s="347"/>
      <c r="C32" s="347"/>
      <c r="D32" s="347"/>
      <c r="E32" s="347"/>
      <c r="F32" s="347"/>
      <c r="G32" s="347"/>
      <c r="H32" s="347"/>
      <c r="I32" s="347"/>
    </row>
    <row r="33" spans="1:9" ht="12.75">
      <c r="A33" s="347" t="s">
        <v>348</v>
      </c>
      <c r="B33" s="347"/>
      <c r="C33" s="347"/>
      <c r="D33" s="347"/>
      <c r="E33" s="347"/>
      <c r="F33" s="347"/>
      <c r="G33" s="347"/>
      <c r="H33" s="347"/>
      <c r="I33" s="347"/>
    </row>
    <row r="34" spans="1:9" ht="12.75">
      <c r="A34" s="347" t="s">
        <v>349</v>
      </c>
      <c r="B34" s="347"/>
      <c r="C34" s="347"/>
      <c r="D34" s="347"/>
      <c r="E34" s="347"/>
      <c r="F34" s="347"/>
      <c r="G34" s="347"/>
      <c r="H34" s="347"/>
      <c r="I34" s="347"/>
    </row>
    <row r="35" spans="1:9" ht="12.75">
      <c r="A35" s="347" t="s">
        <v>350</v>
      </c>
      <c r="B35" s="347"/>
      <c r="C35" s="347"/>
      <c r="D35" s="347"/>
      <c r="E35" s="347"/>
      <c r="F35" s="347"/>
      <c r="G35" s="347"/>
      <c r="H35" s="347"/>
      <c r="I35" s="347"/>
    </row>
    <row r="36" spans="1:9" ht="12.75">
      <c r="A36" s="347" t="s">
        <v>351</v>
      </c>
      <c r="B36" s="347"/>
      <c r="C36" s="347"/>
      <c r="D36" s="347"/>
      <c r="E36" s="347"/>
      <c r="F36" s="347"/>
      <c r="G36" s="347"/>
      <c r="H36" s="347"/>
      <c r="I36" s="347"/>
    </row>
    <row r="37" spans="1:9" ht="12.75">
      <c r="A37" s="347" t="s">
        <v>352</v>
      </c>
      <c r="B37" s="347"/>
      <c r="C37" s="347"/>
      <c r="D37" s="347"/>
      <c r="E37" s="347"/>
      <c r="F37" s="347"/>
      <c r="G37" s="347"/>
      <c r="H37" s="347"/>
      <c r="I37" s="347"/>
    </row>
    <row r="38" spans="1:9" ht="12.75">
      <c r="A38" s="347"/>
      <c r="B38" s="347"/>
      <c r="C38" s="347"/>
      <c r="D38" s="347"/>
      <c r="E38" s="347"/>
      <c r="F38" s="347"/>
      <c r="G38" s="347"/>
      <c r="H38" s="347"/>
      <c r="I38" s="347"/>
    </row>
    <row r="39" spans="1:9" ht="12.75">
      <c r="A39" s="347"/>
      <c r="B39" s="347"/>
      <c r="C39" s="347"/>
      <c r="D39" s="347"/>
      <c r="E39" s="347"/>
      <c r="F39" s="347"/>
      <c r="G39" s="347"/>
      <c r="H39" s="347"/>
      <c r="I39" s="347"/>
    </row>
  </sheetData>
  <sheetProtection password="CA0B" sheet="1" objects="1" scenarios="1" selectLockedCells="1" selectUnlockedCells="1"/>
  <mergeCells count="11">
    <mergeCell ref="A2:A8"/>
    <mergeCell ref="B2:J2"/>
    <mergeCell ref="B3:B8"/>
    <mergeCell ref="C3:C8"/>
    <mergeCell ref="D3:D8"/>
    <mergeCell ref="E3:E8"/>
    <mergeCell ref="F3:F8"/>
    <mergeCell ref="G3:G8"/>
    <mergeCell ref="H3:H8"/>
    <mergeCell ref="I3:I8"/>
    <mergeCell ref="J3:J8"/>
  </mergeCells>
  <printOptions horizontalCentered="1"/>
  <pageMargins left="0.31496062992125984" right="0.11811023622047245" top="0.984251968503937" bottom="0.5118110236220472" header="0.5118110236220472" footer="0.5118110236220472"/>
  <pageSetup orientation="landscape" scale="79" r:id="rId1"/>
  <headerFooter alignWithMargins="0">
    <oddHeader>&amp;LSHOQERIA"ALFA"SHA
VRISERA-GJIROKASTER
NIPTI J 62903630 D</oddHeader>
    <oddFooter>&amp;LFINANCIERI
BENARD PULA&amp;RDREJTORI
KRISTO NACI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Glenn L. Stevens</dc:creator>
  <cp:keywords/>
  <dc:description/>
  <cp:lastModifiedBy>bpula</cp:lastModifiedBy>
  <cp:lastPrinted>2011-03-29T14:02:27Z</cp:lastPrinted>
  <dcterms:created xsi:type="dcterms:W3CDTF">2011-03-25T15:58:22Z</dcterms:created>
  <dcterms:modified xsi:type="dcterms:W3CDTF">2011-07-23T12:52:18Z</dcterms:modified>
  <cp:category/>
  <cp:version/>
  <cp:contentType/>
  <cp:contentStatus/>
</cp:coreProperties>
</file>