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1-Pasqyra e Pozicioni Financiar" sheetId="17" r:id="rId1"/>
    <sheet name="2.1-Pasqyra e Perform. (natyra)" sheetId="18" r:id="rId2"/>
    <sheet name="3.2-CashFlow (direkt)" sheetId="21" r:id="rId3"/>
    <sheet name="4-Pasq. e Levizjeve ne Kapital" sheetId="19" r:id="rId4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18"/>
  <c r="B41" i="21"/>
  <c r="B48"/>
  <c r="D37"/>
  <c r="D48"/>
  <c r="D14"/>
  <c r="D20"/>
  <c r="D19"/>
  <c r="D17"/>
  <c r="D15"/>
  <c r="B20"/>
  <c r="B19"/>
  <c r="B17"/>
  <c r="B16"/>
  <c r="B15"/>
  <c r="B14"/>
  <c r="D12"/>
  <c r="B12"/>
  <c r="D11"/>
  <c r="B11"/>
  <c r="G27" i="19"/>
  <c r="G26"/>
  <c r="G14"/>
  <c r="G10"/>
  <c r="F10"/>
  <c r="E10"/>
  <c r="D10"/>
  <c r="C10"/>
  <c r="B10"/>
  <c r="D46" i="18"/>
  <c r="D45"/>
  <c r="D44"/>
  <c r="B54"/>
  <c r="B53"/>
  <c r="B52"/>
  <c r="B51"/>
  <c r="B50"/>
  <c r="B46"/>
  <c r="B45"/>
  <c r="B37"/>
  <c r="B23"/>
  <c r="B22"/>
  <c r="B35"/>
  <c r="B34"/>
  <c r="B33"/>
  <c r="B32"/>
  <c r="B31"/>
  <c r="B30"/>
  <c r="B29"/>
  <c r="B27"/>
  <c r="B26"/>
  <c r="B25"/>
  <c r="B24"/>
  <c r="B20"/>
  <c r="B19"/>
  <c r="B17"/>
  <c r="B16"/>
  <c r="B15"/>
  <c r="B14"/>
  <c r="B13"/>
  <c r="B12"/>
  <c r="B11"/>
  <c r="B10"/>
  <c r="B106" i="17"/>
  <c r="B105"/>
  <c r="B104"/>
  <c r="B103"/>
  <c r="B102"/>
  <c r="B101"/>
  <c r="B99"/>
  <c r="B98"/>
  <c r="B97"/>
  <c r="B91"/>
  <c r="B90"/>
  <c r="B89"/>
  <c r="B87"/>
  <c r="B86"/>
  <c r="B85"/>
  <c r="B84"/>
  <c r="B83"/>
  <c r="B82"/>
  <c r="B81"/>
  <c r="B80"/>
  <c r="B79"/>
  <c r="B78"/>
  <c r="B74"/>
  <c r="B73"/>
  <c r="B72"/>
  <c r="B71"/>
  <c r="B70"/>
  <c r="B69"/>
  <c r="B68"/>
  <c r="B67"/>
  <c r="B66"/>
  <c r="B65"/>
  <c r="B64"/>
  <c r="B63"/>
  <c r="B62"/>
  <c r="D54"/>
  <c r="D53"/>
  <c r="D52"/>
  <c r="D51"/>
  <c r="B54"/>
  <c r="B53"/>
  <c r="B52"/>
  <c r="B51"/>
  <c r="B49"/>
  <c r="B48"/>
  <c r="B47"/>
  <c r="B46"/>
  <c r="B45"/>
  <c r="B44"/>
  <c r="B42"/>
  <c r="B41"/>
  <c r="B40"/>
  <c r="B39"/>
  <c r="B38"/>
  <c r="B37"/>
  <c r="B30"/>
  <c r="B29"/>
  <c r="B28"/>
  <c r="B27"/>
  <c r="B26"/>
  <c r="B25"/>
  <c r="B24"/>
  <c r="D22"/>
  <c r="B22"/>
  <c r="B21"/>
  <c r="B20"/>
  <c r="B19"/>
  <c r="B18"/>
  <c r="B16"/>
  <c r="B15"/>
  <c r="B14"/>
  <c r="B13"/>
  <c r="B11"/>
  <c r="D54" i="18"/>
  <c r="D53"/>
  <c r="D52"/>
  <c r="D51"/>
  <c r="D50"/>
  <c r="D41"/>
  <c r="D40"/>
  <c r="D39"/>
  <c r="D38"/>
  <c r="D37"/>
  <c r="D35"/>
  <c r="D34"/>
  <c r="D33"/>
  <c r="D32"/>
  <c r="D31"/>
  <c r="D30"/>
  <c r="D29"/>
  <c r="D27"/>
  <c r="D26"/>
  <c r="D25"/>
  <c r="D24"/>
  <c r="D23"/>
  <c r="D22"/>
  <c r="D20"/>
  <c r="D19"/>
  <c r="D17"/>
  <c r="D16"/>
  <c r="D15"/>
  <c r="D14"/>
  <c r="D13"/>
  <c r="D12"/>
  <c r="D11"/>
  <c r="D10"/>
  <c r="D106" i="17" l="1"/>
  <c r="D105"/>
  <c r="D104"/>
  <c r="D103"/>
  <c r="D102"/>
  <c r="D101"/>
  <c r="D99"/>
  <c r="D98"/>
  <c r="D97"/>
  <c r="D85"/>
  <c r="D91"/>
  <c r="D90"/>
  <c r="D89"/>
  <c r="D87"/>
  <c r="D86"/>
  <c r="D84"/>
  <c r="D83"/>
  <c r="D82"/>
  <c r="D81"/>
  <c r="D80"/>
  <c r="D79"/>
  <c r="D78"/>
  <c r="D74"/>
  <c r="D73"/>
  <c r="D72"/>
  <c r="D71"/>
  <c r="D70"/>
  <c r="D69"/>
  <c r="D68"/>
  <c r="D67"/>
  <c r="D66"/>
  <c r="D65"/>
  <c r="D64"/>
  <c r="D63"/>
  <c r="D62"/>
  <c r="D49"/>
  <c r="D48"/>
  <c r="D47"/>
  <c r="D46"/>
  <c r="D45"/>
  <c r="D44"/>
  <c r="D42"/>
  <c r="D41"/>
  <c r="D40"/>
  <c r="D39"/>
  <c r="D38"/>
  <c r="D37"/>
  <c r="D32"/>
  <c r="D31"/>
  <c r="D30"/>
  <c r="D29"/>
  <c r="D28"/>
  <c r="D27"/>
  <c r="D26"/>
  <c r="D25"/>
  <c r="D24"/>
  <c r="D18"/>
  <c r="D21"/>
  <c r="D20"/>
  <c r="D19"/>
  <c r="D16"/>
  <c r="D15"/>
  <c r="D14"/>
  <c r="D13"/>
  <c r="D11"/>
  <c r="B21" i="21" l="1"/>
  <c r="D21"/>
  <c r="B32"/>
  <c r="D32"/>
  <c r="B45"/>
  <c r="D45"/>
  <c r="B47" l="1"/>
  <c r="B50" s="1"/>
  <c r="D47"/>
  <c r="D50" s="1"/>
  <c r="B42" i="18" l="1"/>
  <c r="B44" s="1"/>
  <c r="J35" i="19" l="1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12"/>
  <c r="G12"/>
  <c r="F12"/>
  <c r="E12"/>
  <c r="D12"/>
  <c r="C12"/>
  <c r="B12"/>
  <c r="I11"/>
  <c r="K11" s="1"/>
  <c r="I10"/>
  <c r="K10" s="1"/>
  <c r="D55" i="18"/>
  <c r="B55"/>
  <c r="D42"/>
  <c r="D47" s="1"/>
  <c r="B47"/>
  <c r="D107" i="17"/>
  <c r="D109" s="1"/>
  <c r="B107"/>
  <c r="B109" s="1"/>
  <c r="D92"/>
  <c r="B92"/>
  <c r="D75"/>
  <c r="B75"/>
  <c r="D55"/>
  <c r="B55"/>
  <c r="D33"/>
  <c r="B33"/>
  <c r="B57" l="1"/>
  <c r="D57"/>
  <c r="B24" i="19"/>
  <c r="B37" s="1"/>
  <c r="E24"/>
  <c r="F24"/>
  <c r="F37" s="1"/>
  <c r="D94" i="17"/>
  <c r="D111" s="1"/>
  <c r="B57" i="18"/>
  <c r="D24" i="19"/>
  <c r="D37" s="1"/>
  <c r="I22"/>
  <c r="K22" s="1"/>
  <c r="D57" i="18"/>
  <c r="I35" i="19"/>
  <c r="K35" s="1"/>
  <c r="I12"/>
  <c r="K12" s="1"/>
  <c r="C24"/>
  <c r="C37" s="1"/>
  <c r="G24"/>
  <c r="J24"/>
  <c r="J37" s="1"/>
  <c r="H30"/>
  <c r="I30" s="1"/>
  <c r="K30" s="1"/>
  <c r="H17"/>
  <c r="I17" s="1"/>
  <c r="K17" s="1"/>
  <c r="I14"/>
  <c r="K14" s="1"/>
  <c r="G37"/>
  <c r="E37"/>
  <c r="B94" i="17"/>
  <c r="B111" s="1"/>
  <c r="B113" s="1"/>
  <c r="D113" l="1"/>
  <c r="H24" i="19"/>
  <c r="H37" s="1"/>
  <c r="I24" l="1"/>
  <c r="K24" s="1"/>
  <c r="I37"/>
  <c r="K37" s="1"/>
</calcChain>
</file>

<file path=xl/sharedStrings.xml><?xml version="1.0" encoding="utf-8"?>
<sst xmlns="http://schemas.openxmlformats.org/spreadsheetml/2006/main" count="253" uniqueCount="206">
  <si>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</si>
  <si>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</si>
  <si>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</si>
  <si>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</si>
  <si>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</si>
  <si>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</si>
  <si>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</si>
  <si>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</si>
  <si>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</si>
  <si>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</si>
  <si>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</si>
  <si>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</si>
  <si>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</si>
  <si>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</si>
  <si>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</si>
  <si>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</si>
  <si>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</si>
  <si>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</si>
  <si>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</si>
  <si>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</si>
  <si>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</si>
  <si>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</si>
  <si>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</si>
  <si>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</si>
  <si>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</si>
  <si>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</si>
  <si>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</si>
  <si>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</si>
  <si>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</si>
  <si>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</si>
  <si>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</si>
  <si>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</si>
  <si>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</si>
  <si>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</si>
  <si>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</si>
  <si>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</si>
  <si>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</si>
  <si>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</si>
  <si>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</si>
  <si>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</si>
  <si>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</si>
  <si>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</si>
  <si>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</si>
  <si>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</si>
  <si>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</si>
  <si>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</si>
  <si>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</si>
  <si>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</si>
  <si>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</si>
  <si>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</si>
  <si>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</si>
  <si>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</si>
  <si>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</si>
  <si>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</si>
  <si>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</si>
  <si>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</si>
  <si>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</si>
  <si>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</si>
  <si>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</si>
  <si>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</si>
  <si>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</si>
  <si>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</si>
  <si>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</si>
  <si>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</si>
  <si>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</si>
  <si>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</si>
  <si>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</si>
  <si>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</si>
  <si>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</si>
  <si>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</si>
  <si>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</si>
  <si>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</si>
  <si>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</si>
  <si>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</si>
  <si>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</si>
  <si>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</si>
  <si>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</si>
  <si>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</si>
  <si>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</si>
  <si>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</si>
  <si>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</si>
  <si>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</si>
  <si>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</si>
  <si>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</si>
  <si>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</si>
  <si>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</si>
  <si>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</si>
  <si>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</si>
  <si>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</si>
  <si>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</si>
  <si>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</si>
  <si>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</si>
  <si>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</si>
  <si>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</si>
  <si>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</si>
  <si>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</si>
  <si>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</si>
  <si>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</si>
  <si>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</si>
  <si>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</si>
  <si>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</si>
  <si>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</si>
  <si>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</si>
  <si>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</si>
  <si>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</si>
  <si>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</si>
  <si>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</si>
  <si>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</si>
  <si>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</si>
  <si>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</si>
  <si>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</si>
  <si>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</si>
  <si>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</si>
  <si>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</si>
  <si>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</si>
  <si>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</si>
  <si>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</si>
  <si>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</si>
  <si>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</si>
  <si>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</si>
  <si>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</si>
  <si>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</si>
  <si>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</si>
  <si>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</si>
  <si>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</si>
  <si>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</si>
  <si>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</si>
  <si>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</si>
  <si>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</si>
  <si>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</si>
  <si>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</si>
  <si>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</si>
  <si>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</si>
  <si>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</si>
  <si>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</si>
  <si>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Efekti i ndryshimeve ne politikat kontabile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</si>
  <si>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</si>
  <si>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</si>
  <si>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</si>
  <si>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</si>
  <si>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</si>
  <si>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</si>
  <si>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</si>
  <si>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</si>
  <si>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</si>
  <si>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</si>
  <si>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</si>
  <si>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</si>
  <si>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</si>
  <si>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</si>
  <si>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</si>
  <si>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</si>
  <si>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</si>
  <si>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</si>
  <si>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</si>
  <si>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</si>
  <si>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</si>
  <si>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</si>
  <si>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</si>
  <si>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</si>
  <si>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</si>
  <si>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</si>
  <si>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</si>
  <si>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</si>
  <si>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</si>
  <si>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</si>
  <si>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</si>
  <si>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</si>
  <si>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</si>
  <si>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</si>
  <si>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</si>
  <si>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</si>
  <si>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</si>
  <si>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</si>
  <si>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</si>
  <si>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</si>
  <si>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</si>
  <si>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</si>
  <si>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</si>
  <si>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</si>
  <si>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</si>
  <si>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</si>
  <si>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</si>
  <si>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</si>
  <si>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Pasqyrat financiare te vitit  2022</t>
  </si>
  <si>
    <t>emri nga sistemi      AS COLOR SHPK</t>
  </si>
  <si>
    <t>NIPT nga sistemi    K71912002H</t>
  </si>
  <si>
    <t>Pasqyra e Pozicionit Financiar  2022</t>
  </si>
  <si>
    <t>Raportuese 2022</t>
  </si>
  <si>
    <t>Para ardhese 2021</t>
  </si>
  <si>
    <t>Te pagueshme per detyrime tatimore  ndaj punonjesve</t>
  </si>
  <si>
    <t>Te tjera te pagueshme Tvsh</t>
  </si>
  <si>
    <t>Te tjera te pagueshme ndaj Ortakeve</t>
  </si>
  <si>
    <t>emri nga sistemi  AS COLOR SHPK</t>
  </si>
  <si>
    <t>NIPT nga sistemi  K71912002H</t>
  </si>
  <si>
    <t>Shpenzime te tjera financiare, FITIM /HUMBJE nga kursi I kembimit</t>
  </si>
  <si>
    <t>Pozicioni financiar ne fillim  31 Dhjetor 2020</t>
  </si>
  <si>
    <t>Pozicioni financiar i rideklaruar ne fillim 1 Janar 2021</t>
  </si>
  <si>
    <t>Pozicioni financiar ne fund (viti paraardhes) 31 Dhjetor 2021</t>
  </si>
  <si>
    <t>Pozicioni financiar ne fund (viti aktual)  31 Dhjetor 2022</t>
  </si>
  <si>
    <t>Pasqyrat financiare te vitit 2022</t>
  </si>
  <si>
    <t>emri nga sistemi   AS COLOR SHPK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</si>
  <si>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(pershkruaj)FITIM/HUMBJE NGA KURSI I KEMBIMIT</t>
    </r>
  </si>
  <si>
    <t>Pagese komision dhe sherbim bankar</t>
  </si>
  <si>
    <t xml:space="preserve">Tax Dogane,Skanim Doganor,Akciza,Tvsh </t>
  </si>
  <si>
    <t>Taksa Vendore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</si>
</sst>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123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73" fillId="0" borderId="0" xfId="6595" applyFont="1"/>
    <xf numFmtId="0" fontId="173" fillId="0" borderId="0" xfId="6595" applyFont="1" applyBorder="1"/>
    <xf numFmtId="38" fontId="173" fillId="0" borderId="0" xfId="6595" applyNumberFormat="1" applyFont="1" applyBorder="1"/>
    <xf numFmtId="38" fontId="173" fillId="0" borderId="0" xfId="6595" applyNumberFormat="1" applyFont="1"/>
    <xf numFmtId="0" fontId="178" fillId="0" borderId="0" xfId="6595" applyFont="1"/>
    <xf numFmtId="0" fontId="169" fillId="0" borderId="0" xfId="6595" applyNumberFormat="1" applyFont="1" applyFill="1" applyBorder="1" applyAlignment="1" applyProtection="1">
      <alignment wrapText="1"/>
    </xf>
    <xf numFmtId="0" fontId="177" fillId="0" borderId="0" xfId="6595" applyFont="1" applyBorder="1" applyAlignment="1">
      <alignment vertical="center"/>
    </xf>
    <xf numFmtId="3" fontId="171" fillId="0" borderId="0" xfId="6595" applyNumberFormat="1" applyFont="1" applyBorder="1" applyAlignment="1">
      <alignment horizontal="center" vertical="center"/>
    </xf>
    <xf numFmtId="0" fontId="179" fillId="0" borderId="0" xfId="6595" applyFont="1"/>
    <xf numFmtId="0" fontId="174" fillId="0" borderId="0" xfId="6595" applyNumberFormat="1" applyFont="1" applyFill="1" applyBorder="1" applyAlignment="1" applyProtection="1">
      <alignment wrapText="1"/>
    </xf>
    <xf numFmtId="38" fontId="173" fillId="59" borderId="16" xfId="6595" applyNumberFormat="1" applyFont="1" applyFill="1" applyBorder="1"/>
    <xf numFmtId="38" fontId="173" fillId="59" borderId="0" xfId="6595" applyNumberFormat="1" applyFont="1" applyFill="1" applyBorder="1"/>
    <xf numFmtId="0" fontId="169" fillId="59" borderId="0" xfId="6595" applyNumberFormat="1" applyFont="1" applyFill="1" applyBorder="1" applyAlignment="1" applyProtection="1">
      <alignment horizontal="left" wrapText="1"/>
    </xf>
    <xf numFmtId="0" fontId="174" fillId="0" borderId="0" xfId="6595" applyNumberFormat="1" applyFont="1" applyFill="1" applyBorder="1" applyAlignment="1" applyProtection="1">
      <alignment horizontal="left" wrapText="1"/>
    </xf>
    <xf numFmtId="38" fontId="173" fillId="0" borderId="15" xfId="6595" applyNumberFormat="1" applyFont="1" applyBorder="1"/>
    <xf numFmtId="0" fontId="169" fillId="0" borderId="0" xfId="3275" applyFont="1" applyFill="1" applyAlignment="1">
      <alignment vertical="top" wrapText="1"/>
    </xf>
    <xf numFmtId="38" fontId="173" fillId="0" borderId="26" xfId="6595" applyNumberFormat="1" applyFont="1" applyBorder="1"/>
    <xf numFmtId="0" fontId="174" fillId="0" borderId="0" xfId="6595" applyNumberFormat="1" applyFont="1" applyFill="1" applyBorder="1" applyAlignment="1" applyProtection="1">
      <alignment horizontal="left" wrapText="1" indent="2"/>
    </xf>
    <xf numFmtId="0" fontId="174" fillId="0" borderId="0" xfId="6595" applyNumberFormat="1" applyFont="1" applyFill="1" applyBorder="1" applyAlignment="1" applyProtection="1">
      <alignment horizontal="left" indent="2"/>
    </xf>
    <xf numFmtId="3" fontId="172" fillId="0" borderId="0" xfId="6595" applyNumberFormat="1" applyFont="1" applyBorder="1" applyAlignment="1">
      <alignment vertical="center"/>
    </xf>
    <xf numFmtId="0" fontId="185" fillId="0" borderId="0" xfId="6595" applyNumberFormat="1" applyFont="1" applyFill="1" applyBorder="1" applyAlignment="1" applyProtection="1">
      <alignment horizontal="left" indent="2"/>
    </xf>
    <xf numFmtId="0" fontId="168" fillId="0" borderId="0" xfId="3507" applyNumberFormat="1" applyFont="1" applyFill="1" applyBorder="1" applyAlignment="1">
      <alignment horizontal="left" vertical="center" wrapText="1"/>
    </xf>
    <xf numFmtId="0" fontId="173" fillId="0" borderId="0" xfId="6595" applyFont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82" workbookViewId="0">
      <selection activeCell="G67" sqref="G67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184</v>
      </c>
    </row>
    <row r="2" spans="1:5">
      <c r="A2" s="32" t="s">
        <v>185</v>
      </c>
    </row>
    <row r="3" spans="1:5">
      <c r="A3" s="32" t="s">
        <v>186</v>
      </c>
    </row>
    <row r="4" spans="1:5">
      <c r="A4" s="32" t="s">
        <v>71</v>
      </c>
    </row>
    <row r="5" spans="1:5">
      <c r="A5" s="13" t="s">
        <v>187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188</v>
      </c>
      <c r="C7" s="12"/>
      <c r="D7" s="12" t="s">
        <v>189</v>
      </c>
      <c r="E7" s="11"/>
    </row>
    <row r="8" spans="1:5">
      <c r="A8" s="13" t="s">
        <v>10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11</v>
      </c>
      <c r="B10" s="16"/>
      <c r="C10" s="22"/>
      <c r="D10" s="16"/>
      <c r="E10" s="11"/>
    </row>
    <row r="11" spans="1:5">
      <c r="A11" s="19" t="s">
        <v>12</v>
      </c>
      <c r="B11" s="49">
        <f>464303</f>
        <v>464303</v>
      </c>
      <c r="C11" s="23"/>
      <c r="D11" s="49">
        <f>2419</f>
        <v>2419</v>
      </c>
      <c r="E11" s="11"/>
    </row>
    <row r="12" spans="1:5">
      <c r="A12" s="19" t="s">
        <v>72</v>
      </c>
      <c r="B12" s="61"/>
      <c r="C12" s="23"/>
      <c r="D12" s="61"/>
      <c r="E12" s="11"/>
    </row>
    <row r="13" spans="1:5" ht="16.5" customHeight="1">
      <c r="A13" s="50" t="s">
        <v>105</v>
      </c>
      <c r="B13" s="49">
        <f>0</f>
        <v>0</v>
      </c>
      <c r="C13" s="23"/>
      <c r="D13" s="49">
        <f>0</f>
        <v>0</v>
      </c>
      <c r="E13" s="11"/>
    </row>
    <row r="14" spans="1:5" ht="16.5" customHeight="1">
      <c r="A14" s="50" t="s">
        <v>106</v>
      </c>
      <c r="B14" s="49">
        <f>0</f>
        <v>0</v>
      </c>
      <c r="C14" s="23"/>
      <c r="D14" s="49">
        <f>0</f>
        <v>0</v>
      </c>
      <c r="E14" s="11"/>
    </row>
    <row r="15" spans="1:5">
      <c r="A15" s="50" t="s">
        <v>117</v>
      </c>
      <c r="B15" s="49">
        <f>0</f>
        <v>0</v>
      </c>
      <c r="C15" s="23"/>
      <c r="D15" s="49">
        <f>0</f>
        <v>0</v>
      </c>
      <c r="E15" s="11"/>
    </row>
    <row r="16" spans="1:5">
      <c r="A16" s="50" t="s">
        <v>107</v>
      </c>
      <c r="B16" s="49">
        <f>0</f>
        <v>0</v>
      </c>
      <c r="C16" s="23"/>
      <c r="D16" s="49">
        <f>0</f>
        <v>0</v>
      </c>
      <c r="E16" s="11"/>
    </row>
    <row r="17" spans="1:5">
      <c r="A17" s="19" t="s">
        <v>13</v>
      </c>
      <c r="B17" s="61"/>
      <c r="C17" s="23"/>
      <c r="D17" s="61"/>
      <c r="E17" s="11"/>
    </row>
    <row r="18" spans="1:5">
      <c r="A18" s="50" t="s">
        <v>118</v>
      </c>
      <c r="B18" s="49">
        <f>1144309</f>
        <v>1144309</v>
      </c>
      <c r="C18" s="23"/>
      <c r="D18" s="49">
        <f>1126335</f>
        <v>1126335</v>
      </c>
      <c r="E18" s="11"/>
    </row>
    <row r="19" spans="1:5" ht="16.5" customHeight="1">
      <c r="A19" s="50" t="s">
        <v>108</v>
      </c>
      <c r="B19" s="49">
        <f>0</f>
        <v>0</v>
      </c>
      <c r="C19" s="23"/>
      <c r="D19" s="49">
        <f>0</f>
        <v>0</v>
      </c>
      <c r="E19" s="11"/>
    </row>
    <row r="20" spans="1:5" ht="16.5" customHeight="1">
      <c r="A20" s="50" t="s">
        <v>109</v>
      </c>
      <c r="B20" s="49">
        <f>0</f>
        <v>0</v>
      </c>
      <c r="C20" s="23"/>
      <c r="D20" s="49">
        <f>0</f>
        <v>0</v>
      </c>
      <c r="E20" s="11"/>
    </row>
    <row r="21" spans="1:5">
      <c r="A21" s="50" t="s">
        <v>7</v>
      </c>
      <c r="B21" s="49">
        <f>44996</f>
        <v>44996</v>
      </c>
      <c r="C21" s="23"/>
      <c r="D21" s="49">
        <f>174349</f>
        <v>174349</v>
      </c>
      <c r="E21" s="11"/>
    </row>
    <row r="22" spans="1:5">
      <c r="A22" s="50" t="s">
        <v>110</v>
      </c>
      <c r="B22" s="49">
        <f>0</f>
        <v>0</v>
      </c>
      <c r="C22" s="23"/>
      <c r="D22" s="49">
        <f>0</f>
        <v>0</v>
      </c>
      <c r="E22" s="11"/>
    </row>
    <row r="23" spans="1:5">
      <c r="A23" s="19" t="s">
        <v>65</v>
      </c>
      <c r="B23" s="18"/>
      <c r="C23" s="23"/>
      <c r="D23" s="18"/>
      <c r="E23" s="11"/>
    </row>
    <row r="24" spans="1:5">
      <c r="A24" s="50" t="s">
        <v>73</v>
      </c>
      <c r="B24" s="49">
        <f>37708</f>
        <v>37708</v>
      </c>
      <c r="C24" s="23"/>
      <c r="D24" s="49">
        <f>37708</f>
        <v>37708</v>
      </c>
      <c r="E24" s="11"/>
    </row>
    <row r="25" spans="1:5">
      <c r="A25" s="50" t="s">
        <v>74</v>
      </c>
      <c r="B25" s="49">
        <f>0</f>
        <v>0</v>
      </c>
      <c r="C25" s="23"/>
      <c r="D25" s="49">
        <f>0</f>
        <v>0</v>
      </c>
      <c r="E25" s="11"/>
    </row>
    <row r="26" spans="1:5">
      <c r="A26" s="50" t="s">
        <v>75</v>
      </c>
      <c r="B26" s="49">
        <f>0</f>
        <v>0</v>
      </c>
      <c r="C26" s="23"/>
      <c r="D26" s="49">
        <f>0</f>
        <v>0</v>
      </c>
      <c r="E26" s="11"/>
    </row>
    <row r="27" spans="1:5">
      <c r="A27" s="50" t="s">
        <v>59</v>
      </c>
      <c r="B27" s="49">
        <f>26370859</f>
        <v>26370859</v>
      </c>
      <c r="C27" s="23"/>
      <c r="D27" s="49">
        <f>26258042</f>
        <v>26258042</v>
      </c>
      <c r="E27" s="11"/>
    </row>
    <row r="28" spans="1:5">
      <c r="A28" s="50" t="s">
        <v>76</v>
      </c>
      <c r="B28" s="49">
        <f>0</f>
        <v>0</v>
      </c>
      <c r="C28" s="23"/>
      <c r="D28" s="49">
        <f>0</f>
        <v>0</v>
      </c>
      <c r="E28" s="11"/>
    </row>
    <row r="29" spans="1:5">
      <c r="A29" s="50" t="s">
        <v>77</v>
      </c>
      <c r="B29" s="49">
        <f>0</f>
        <v>0</v>
      </c>
      <c r="C29" s="23"/>
      <c r="D29" s="49">
        <f>0</f>
        <v>0</v>
      </c>
      <c r="E29" s="11"/>
    </row>
    <row r="30" spans="1:5">
      <c r="A30" s="50" t="s">
        <v>78</v>
      </c>
      <c r="B30" s="49">
        <f>592187</f>
        <v>592187</v>
      </c>
      <c r="C30" s="23"/>
      <c r="D30" s="49">
        <f>2634787</f>
        <v>2634787</v>
      </c>
      <c r="E30" s="11"/>
    </row>
    <row r="31" spans="1:5">
      <c r="A31" s="19" t="s">
        <v>14</v>
      </c>
      <c r="B31" s="49"/>
      <c r="C31" s="23"/>
      <c r="D31" s="49">
        <f>0</f>
        <v>0</v>
      </c>
      <c r="E31" s="11"/>
    </row>
    <row r="32" spans="1:5">
      <c r="A32" s="19" t="s">
        <v>15</v>
      </c>
      <c r="B32" s="49"/>
      <c r="C32" s="23"/>
      <c r="D32" s="49">
        <f>0</f>
        <v>0</v>
      </c>
      <c r="E32" s="11"/>
    </row>
    <row r="33" spans="1:5">
      <c r="A33" s="19" t="s">
        <v>2</v>
      </c>
      <c r="B33" s="27">
        <f>SUM(B11:B32)</f>
        <v>28654362</v>
      </c>
      <c r="C33" s="28"/>
      <c r="D33" s="27">
        <f>SUM(D11:D32)</f>
        <v>30233640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17</v>
      </c>
      <c r="B35" s="18"/>
      <c r="C35" s="23"/>
      <c r="D35" s="18"/>
      <c r="E35" s="11"/>
    </row>
    <row r="36" spans="1:5">
      <c r="A36" s="19" t="s">
        <v>79</v>
      </c>
      <c r="B36" s="18"/>
      <c r="C36" s="23"/>
      <c r="D36" s="18"/>
      <c r="E36" s="11"/>
    </row>
    <row r="37" spans="1:5">
      <c r="A37" s="50" t="s">
        <v>111</v>
      </c>
      <c r="B37" s="49">
        <f>0</f>
        <v>0</v>
      </c>
      <c r="C37" s="23"/>
      <c r="D37" s="49">
        <f>0</f>
        <v>0</v>
      </c>
      <c r="E37" s="11"/>
    </row>
    <row r="38" spans="1:5">
      <c r="A38" s="50" t="s">
        <v>112</v>
      </c>
      <c r="B38" s="49">
        <f>0</f>
        <v>0</v>
      </c>
      <c r="C38" s="23"/>
      <c r="D38" s="49">
        <f>0</f>
        <v>0</v>
      </c>
      <c r="E38" s="11"/>
    </row>
    <row r="39" spans="1:5">
      <c r="A39" s="50" t="s">
        <v>113</v>
      </c>
      <c r="B39" s="49">
        <f>0</f>
        <v>0</v>
      </c>
      <c r="C39" s="23"/>
      <c r="D39" s="49">
        <f>0</f>
        <v>0</v>
      </c>
      <c r="E39" s="11"/>
    </row>
    <row r="40" spans="1:5">
      <c r="A40" s="50" t="s">
        <v>114</v>
      </c>
      <c r="B40" s="49">
        <f>0</f>
        <v>0</v>
      </c>
      <c r="C40" s="23"/>
      <c r="D40" s="49">
        <f>0</f>
        <v>0</v>
      </c>
      <c r="E40" s="11"/>
    </row>
    <row r="41" spans="1:5">
      <c r="A41" s="50" t="s">
        <v>115</v>
      </c>
      <c r="B41" s="49">
        <f>0</f>
        <v>0</v>
      </c>
      <c r="C41" s="23"/>
      <c r="D41" s="49">
        <f>0</f>
        <v>0</v>
      </c>
      <c r="E41" s="11"/>
    </row>
    <row r="42" spans="1:5">
      <c r="A42" s="50" t="s">
        <v>116</v>
      </c>
      <c r="B42" s="49">
        <f>0</f>
        <v>0</v>
      </c>
      <c r="C42" s="23"/>
      <c r="D42" s="49">
        <f>0</f>
        <v>0</v>
      </c>
      <c r="E42" s="11"/>
    </row>
    <row r="43" spans="1:5">
      <c r="A43" s="19" t="s">
        <v>70</v>
      </c>
      <c r="B43" s="18"/>
      <c r="C43" s="23"/>
      <c r="D43" s="18"/>
      <c r="E43" s="11"/>
    </row>
    <row r="44" spans="1:5">
      <c r="A44" s="50" t="s">
        <v>119</v>
      </c>
      <c r="B44" s="49">
        <f>0</f>
        <v>0</v>
      </c>
      <c r="C44" s="23"/>
      <c r="D44" s="49">
        <f>0</f>
        <v>0</v>
      </c>
      <c r="E44" s="11"/>
    </row>
    <row r="45" spans="1:5">
      <c r="A45" s="50" t="s">
        <v>120</v>
      </c>
      <c r="B45" s="49">
        <f>643273</f>
        <v>643273</v>
      </c>
      <c r="C45" s="23"/>
      <c r="D45" s="49">
        <f>757416</f>
        <v>757416</v>
      </c>
      <c r="E45" s="11"/>
    </row>
    <row r="46" spans="1:5">
      <c r="A46" s="50" t="s">
        <v>121</v>
      </c>
      <c r="B46" s="49">
        <f>18918</f>
        <v>18918</v>
      </c>
      <c r="C46" s="23"/>
      <c r="D46" s="49">
        <f>25224</f>
        <v>25224</v>
      </c>
      <c r="E46" s="11"/>
    </row>
    <row r="47" spans="1:5">
      <c r="A47" s="50" t="s">
        <v>122</v>
      </c>
      <c r="B47" s="49">
        <f>0</f>
        <v>0</v>
      </c>
      <c r="C47" s="23"/>
      <c r="D47" s="49">
        <f>0</f>
        <v>0</v>
      </c>
      <c r="E47" s="11"/>
    </row>
    <row r="48" spans="1:5">
      <c r="A48" s="50" t="s">
        <v>123</v>
      </c>
      <c r="B48" s="49">
        <f>0</f>
        <v>0</v>
      </c>
      <c r="C48" s="23"/>
      <c r="D48" s="49">
        <f>0</f>
        <v>0</v>
      </c>
      <c r="E48" s="11"/>
    </row>
    <row r="49" spans="1:5">
      <c r="A49" s="19" t="s">
        <v>18</v>
      </c>
      <c r="B49" s="49">
        <f>0</f>
        <v>0</v>
      </c>
      <c r="C49" s="23"/>
      <c r="D49" s="49">
        <f>0</f>
        <v>0</v>
      </c>
      <c r="E49" s="11"/>
    </row>
    <row r="50" spans="1:5">
      <c r="A50" s="19" t="s">
        <v>80</v>
      </c>
      <c r="B50" s="18"/>
      <c r="C50" s="23"/>
      <c r="D50" s="18"/>
      <c r="E50" s="11"/>
    </row>
    <row r="51" spans="1:5">
      <c r="A51" s="50" t="s">
        <v>124</v>
      </c>
      <c r="B51" s="49">
        <f>0</f>
        <v>0</v>
      </c>
      <c r="C51" s="23"/>
      <c r="D51" s="49">
        <f>0</f>
        <v>0</v>
      </c>
      <c r="E51" s="11"/>
    </row>
    <row r="52" spans="1:5">
      <c r="A52" s="50" t="s">
        <v>125</v>
      </c>
      <c r="B52" s="49">
        <f>0</f>
        <v>0</v>
      </c>
      <c r="C52" s="23"/>
      <c r="D52" s="49">
        <f>0</f>
        <v>0</v>
      </c>
      <c r="E52" s="11"/>
    </row>
    <row r="53" spans="1:5">
      <c r="A53" s="50" t="s">
        <v>126</v>
      </c>
      <c r="B53" s="49">
        <f>0</f>
        <v>0</v>
      </c>
      <c r="C53" s="23"/>
      <c r="D53" s="49">
        <f>0</f>
        <v>0</v>
      </c>
      <c r="E53" s="11"/>
    </row>
    <row r="54" spans="1:5">
      <c r="A54" s="19" t="s">
        <v>19</v>
      </c>
      <c r="B54" s="49">
        <f>0</f>
        <v>0</v>
      </c>
      <c r="C54" s="23"/>
      <c r="D54" s="49">
        <f>0</f>
        <v>0</v>
      </c>
      <c r="E54" s="11"/>
    </row>
    <row r="55" spans="1:5">
      <c r="A55" s="19" t="s">
        <v>1</v>
      </c>
      <c r="B55" s="27">
        <f>SUM(B37:B54)</f>
        <v>662191</v>
      </c>
      <c r="C55" s="28"/>
      <c r="D55" s="27">
        <f>SUM(D37:D54)</f>
        <v>782640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20</v>
      </c>
      <c r="B57" s="51">
        <f>B55+B33</f>
        <v>29316553</v>
      </c>
      <c r="C57" s="52"/>
      <c r="D57" s="51">
        <f>D55+D33</f>
        <v>31016280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21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22</v>
      </c>
      <c r="B61" s="18"/>
      <c r="C61" s="23"/>
      <c r="D61" s="18"/>
      <c r="E61" s="11"/>
    </row>
    <row r="62" spans="1:5">
      <c r="A62" s="50" t="s">
        <v>127</v>
      </c>
      <c r="B62" s="49">
        <f>0</f>
        <v>0</v>
      </c>
      <c r="C62" s="23"/>
      <c r="D62" s="49">
        <f>0</f>
        <v>0</v>
      </c>
      <c r="E62" s="11"/>
    </row>
    <row r="63" spans="1:5">
      <c r="A63" s="50" t="s">
        <v>81</v>
      </c>
      <c r="B63" s="49">
        <f>3628653</f>
        <v>3628653</v>
      </c>
      <c r="C63" s="23"/>
      <c r="D63" s="49">
        <f>4861614</f>
        <v>4861614</v>
      </c>
      <c r="E63" s="11"/>
    </row>
    <row r="64" spans="1:5">
      <c r="A64" s="50" t="s">
        <v>82</v>
      </c>
      <c r="B64" s="49">
        <f>1212071</f>
        <v>1212071</v>
      </c>
      <c r="C64" s="23"/>
      <c r="D64" s="49">
        <f>1270100</f>
        <v>1270100</v>
      </c>
      <c r="E64" s="11"/>
    </row>
    <row r="65" spans="1:5">
      <c r="A65" s="50" t="s">
        <v>23</v>
      </c>
      <c r="B65" s="49">
        <f>0</f>
        <v>0</v>
      </c>
      <c r="C65" s="23"/>
      <c r="D65" s="49">
        <f>0</f>
        <v>0</v>
      </c>
      <c r="E65" s="11"/>
    </row>
    <row r="66" spans="1:5">
      <c r="A66" s="50" t="s">
        <v>83</v>
      </c>
      <c r="B66" s="49">
        <f>0</f>
        <v>0</v>
      </c>
      <c r="C66" s="23"/>
      <c r="D66" s="49">
        <f>0</f>
        <v>0</v>
      </c>
      <c r="E66" s="11"/>
    </row>
    <row r="67" spans="1:5">
      <c r="A67" s="50" t="s">
        <v>128</v>
      </c>
      <c r="B67" s="49">
        <f>0</f>
        <v>0</v>
      </c>
      <c r="C67" s="23"/>
      <c r="D67" s="49">
        <f>0</f>
        <v>0</v>
      </c>
      <c r="E67" s="11"/>
    </row>
    <row r="68" spans="1:5">
      <c r="A68" s="50" t="s">
        <v>129</v>
      </c>
      <c r="B68" s="49">
        <f>0</f>
        <v>0</v>
      </c>
      <c r="C68" s="23"/>
      <c r="D68" s="49">
        <f>0</f>
        <v>0</v>
      </c>
      <c r="E68" s="11"/>
    </row>
    <row r="69" spans="1:5">
      <c r="A69" s="50" t="s">
        <v>68</v>
      </c>
      <c r="B69" s="49">
        <f>34875</f>
        <v>34875</v>
      </c>
      <c r="C69" s="23"/>
      <c r="D69" s="49">
        <f>41850</f>
        <v>41850</v>
      </c>
      <c r="E69" s="11"/>
    </row>
    <row r="70" spans="1:5">
      <c r="A70" s="50" t="s">
        <v>190</v>
      </c>
      <c r="B70" s="49">
        <f>1300</f>
        <v>1300</v>
      </c>
      <c r="C70" s="23"/>
      <c r="D70" s="49">
        <f>3900</f>
        <v>3900</v>
      </c>
      <c r="E70" s="11"/>
    </row>
    <row r="71" spans="1:5">
      <c r="A71" s="50" t="s">
        <v>191</v>
      </c>
      <c r="B71" s="49">
        <f>109700</f>
        <v>109700</v>
      </c>
      <c r="C71" s="23"/>
      <c r="D71" s="49">
        <f>129300</f>
        <v>129300</v>
      </c>
      <c r="E71" s="11"/>
    </row>
    <row r="72" spans="1:5">
      <c r="A72" s="19" t="s">
        <v>24</v>
      </c>
      <c r="B72" s="49">
        <f>309103</f>
        <v>309103</v>
      </c>
      <c r="C72" s="23"/>
      <c r="D72" s="49">
        <f>353111</f>
        <v>353111</v>
      </c>
      <c r="E72" s="11"/>
    </row>
    <row r="73" spans="1:5">
      <c r="A73" s="19" t="s">
        <v>25</v>
      </c>
      <c r="B73" s="49">
        <f>0</f>
        <v>0</v>
      </c>
      <c r="C73" s="23"/>
      <c r="D73" s="49">
        <f>0</f>
        <v>0</v>
      </c>
      <c r="E73" s="11"/>
    </row>
    <row r="74" spans="1:5">
      <c r="A74" s="19" t="s">
        <v>69</v>
      </c>
      <c r="B74" s="49">
        <f>0</f>
        <v>0</v>
      </c>
      <c r="C74" s="23"/>
      <c r="D74" s="49">
        <f>0</f>
        <v>0</v>
      </c>
      <c r="E74" s="11"/>
    </row>
    <row r="75" spans="1:5">
      <c r="A75" s="19" t="s">
        <v>26</v>
      </c>
      <c r="B75" s="27">
        <f>SUM(B62:B74)</f>
        <v>5295702</v>
      </c>
      <c r="C75" s="28"/>
      <c r="D75" s="27">
        <f>SUM(D62:D74)</f>
        <v>6659875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27</v>
      </c>
      <c r="B77" s="18"/>
      <c r="C77" s="23"/>
      <c r="D77" s="18"/>
      <c r="E77" s="11"/>
    </row>
    <row r="78" spans="1:5">
      <c r="A78" s="50" t="s">
        <v>127</v>
      </c>
      <c r="B78" s="49">
        <f>0</f>
        <v>0</v>
      </c>
      <c r="C78" s="23"/>
      <c r="D78" s="49">
        <f>0</f>
        <v>0</v>
      </c>
      <c r="E78" s="11"/>
    </row>
    <row r="79" spans="1:5">
      <c r="A79" s="50" t="s">
        <v>81</v>
      </c>
      <c r="B79" s="49">
        <f>0</f>
        <v>0</v>
      </c>
      <c r="C79" s="23"/>
      <c r="D79" s="49">
        <f>0</f>
        <v>0</v>
      </c>
      <c r="E79" s="11"/>
    </row>
    <row r="80" spans="1:5">
      <c r="A80" s="50" t="s">
        <v>82</v>
      </c>
      <c r="B80" s="49">
        <f>0</f>
        <v>0</v>
      </c>
      <c r="C80" s="23"/>
      <c r="D80" s="49">
        <f>0</f>
        <v>0</v>
      </c>
      <c r="E80" s="11"/>
    </row>
    <row r="81" spans="1:5">
      <c r="A81" s="50" t="s">
        <v>23</v>
      </c>
      <c r="B81" s="49">
        <f>0</f>
        <v>0</v>
      </c>
      <c r="C81" s="23"/>
      <c r="D81" s="49">
        <f>0</f>
        <v>0</v>
      </c>
      <c r="E81" s="11"/>
    </row>
    <row r="82" spans="1:5">
      <c r="A82" s="50" t="s">
        <v>83</v>
      </c>
      <c r="B82" s="49">
        <f>0</f>
        <v>0</v>
      </c>
      <c r="C82" s="23"/>
      <c r="D82" s="49">
        <f>0</f>
        <v>0</v>
      </c>
      <c r="E82" s="11"/>
    </row>
    <row r="83" spans="1:5">
      <c r="A83" s="50" t="s">
        <v>128</v>
      </c>
      <c r="B83" s="49">
        <f>0</f>
        <v>0</v>
      </c>
      <c r="C83" s="23"/>
      <c r="D83" s="49">
        <f>0</f>
        <v>0</v>
      </c>
      <c r="E83" s="11"/>
    </row>
    <row r="84" spans="1:5">
      <c r="A84" s="50" t="s">
        <v>129</v>
      </c>
      <c r="B84" s="49">
        <f>0</f>
        <v>0</v>
      </c>
      <c r="C84" s="23"/>
      <c r="D84" s="49">
        <f>0</f>
        <v>0</v>
      </c>
      <c r="E84" s="11"/>
    </row>
    <row r="85" spans="1:5">
      <c r="A85" s="50" t="s">
        <v>192</v>
      </c>
      <c r="B85" s="49">
        <f>28192605</f>
        <v>28192605</v>
      </c>
      <c r="C85" s="23"/>
      <c r="D85" s="49">
        <f>28537147</f>
        <v>28537147</v>
      </c>
      <c r="E85" s="11"/>
    </row>
    <row r="86" spans="1:5">
      <c r="A86" s="19" t="s">
        <v>24</v>
      </c>
      <c r="B86" s="49">
        <f>0</f>
        <v>0</v>
      </c>
      <c r="C86" s="23"/>
      <c r="D86" s="49">
        <f>0</f>
        <v>0</v>
      </c>
      <c r="E86" s="11"/>
    </row>
    <row r="87" spans="1:5">
      <c r="A87" s="19" t="s">
        <v>25</v>
      </c>
      <c r="B87" s="49">
        <f>0</f>
        <v>0</v>
      </c>
      <c r="C87" s="23"/>
      <c r="D87" s="49">
        <f>0</f>
        <v>0</v>
      </c>
      <c r="E87" s="11"/>
    </row>
    <row r="88" spans="1:5">
      <c r="A88" s="19" t="s">
        <v>69</v>
      </c>
      <c r="B88" s="18"/>
      <c r="C88" s="23"/>
      <c r="D88" s="18"/>
      <c r="E88" s="11"/>
    </row>
    <row r="89" spans="1:5">
      <c r="A89" s="50" t="s">
        <v>84</v>
      </c>
      <c r="B89" s="49">
        <f>0</f>
        <v>0</v>
      </c>
      <c r="C89" s="23"/>
      <c r="D89" s="49">
        <f>0</f>
        <v>0</v>
      </c>
      <c r="E89" s="11"/>
    </row>
    <row r="90" spans="1:5">
      <c r="A90" s="50" t="s">
        <v>85</v>
      </c>
      <c r="B90" s="49">
        <f>0</f>
        <v>0</v>
      </c>
      <c r="C90" s="23"/>
      <c r="D90" s="49">
        <f>0</f>
        <v>0</v>
      </c>
      <c r="E90" s="11"/>
    </row>
    <row r="91" spans="1:5">
      <c r="A91" s="19" t="s">
        <v>28</v>
      </c>
      <c r="B91" s="49">
        <f>0</f>
        <v>0</v>
      </c>
      <c r="C91" s="23"/>
      <c r="D91" s="49">
        <f>0</f>
        <v>0</v>
      </c>
      <c r="E91" s="11"/>
    </row>
    <row r="92" spans="1:5">
      <c r="A92" s="19" t="s">
        <v>29</v>
      </c>
      <c r="B92" s="27">
        <f>SUM(B78:B91)</f>
        <v>28192605</v>
      </c>
      <c r="C92" s="28"/>
      <c r="D92" s="27">
        <f>SUM(D78:D91)</f>
        <v>28537147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30</v>
      </c>
      <c r="B94" s="53">
        <f>B75+B92</f>
        <v>33488307</v>
      </c>
      <c r="C94" s="52"/>
      <c r="D94" s="53">
        <f>D75+D92</f>
        <v>35197022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31</v>
      </c>
      <c r="B96" s="18"/>
      <c r="C96" s="23"/>
      <c r="D96" s="18"/>
      <c r="E96" s="11"/>
    </row>
    <row r="97" spans="1:5">
      <c r="A97" s="19" t="s">
        <v>32</v>
      </c>
      <c r="B97" s="49">
        <f>1100000</f>
        <v>1100000</v>
      </c>
      <c r="C97" s="23"/>
      <c r="D97" s="49">
        <f>1100000</f>
        <v>1100000</v>
      </c>
      <c r="E97" s="11"/>
    </row>
    <row r="98" spans="1:5">
      <c r="A98" s="19" t="s">
        <v>33</v>
      </c>
      <c r="B98" s="49">
        <f>0</f>
        <v>0</v>
      </c>
      <c r="C98" s="23"/>
      <c r="D98" s="49">
        <f>0</f>
        <v>0</v>
      </c>
      <c r="E98" s="11"/>
    </row>
    <row r="99" spans="1:5">
      <c r="A99" s="19" t="s">
        <v>34</v>
      </c>
      <c r="B99" s="49">
        <f>0</f>
        <v>0</v>
      </c>
      <c r="C99" s="23"/>
      <c r="D99" s="49">
        <f>0</f>
        <v>0</v>
      </c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>
        <f>0</f>
        <v>0</v>
      </c>
      <c r="C101" s="23"/>
      <c r="D101" s="49">
        <f>0</f>
        <v>0</v>
      </c>
      <c r="E101" s="11"/>
    </row>
    <row r="102" spans="1:5">
      <c r="A102" s="50" t="s">
        <v>86</v>
      </c>
      <c r="B102" s="49">
        <f>0</f>
        <v>0</v>
      </c>
      <c r="C102" s="23"/>
      <c r="D102" s="49">
        <f>0</f>
        <v>0</v>
      </c>
      <c r="E102" s="11"/>
    </row>
    <row r="103" spans="1:5">
      <c r="A103" s="50" t="s">
        <v>6</v>
      </c>
      <c r="B103" s="49">
        <f>0</f>
        <v>0</v>
      </c>
      <c r="C103" s="23"/>
      <c r="D103" s="49">
        <f>0</f>
        <v>0</v>
      </c>
      <c r="E103" s="11"/>
    </row>
    <row r="104" spans="1:5">
      <c r="A104" s="50" t="s">
        <v>103</v>
      </c>
      <c r="B104" s="49">
        <f>0</f>
        <v>0</v>
      </c>
      <c r="C104" s="23"/>
      <c r="D104" s="49">
        <f>0</f>
        <v>0</v>
      </c>
      <c r="E104" s="11"/>
    </row>
    <row r="105" spans="1:5">
      <c r="A105" s="19" t="s">
        <v>61</v>
      </c>
      <c r="B105" s="49">
        <f>-5280742</f>
        <v>-5280742</v>
      </c>
      <c r="C105" s="42"/>
      <c r="D105" s="49">
        <f>-2414295</f>
        <v>-2414295</v>
      </c>
      <c r="E105" s="11"/>
    </row>
    <row r="106" spans="1:5">
      <c r="A106" s="19" t="s">
        <v>60</v>
      </c>
      <c r="B106" s="49">
        <f>8988</f>
        <v>8988</v>
      </c>
      <c r="C106" s="23"/>
      <c r="D106" s="49">
        <f>-2866447</f>
        <v>-2866447</v>
      </c>
      <c r="E106" s="11"/>
    </row>
    <row r="107" spans="1:5" ht="18" customHeight="1">
      <c r="A107" s="19" t="s">
        <v>63</v>
      </c>
      <c r="B107" s="36">
        <f>SUM(B97:B106)</f>
        <v>-4171754</v>
      </c>
      <c r="C107" s="37"/>
      <c r="D107" s="36">
        <f>SUM(D97:D106)</f>
        <v>-4180742</v>
      </c>
      <c r="E107" s="11"/>
    </row>
    <row r="108" spans="1:5">
      <c r="A108" s="17" t="s">
        <v>58</v>
      </c>
      <c r="B108" s="49"/>
      <c r="C108" s="23"/>
      <c r="D108" s="49"/>
      <c r="E108" s="11"/>
    </row>
    <row r="109" spans="1:5">
      <c r="A109" s="19" t="s">
        <v>62</v>
      </c>
      <c r="B109" s="53">
        <f>SUM(B107:B108)</f>
        <v>-4171754</v>
      </c>
      <c r="C109" s="52"/>
      <c r="D109" s="53">
        <f>SUM(D107:D108)</f>
        <v>-4180742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35</v>
      </c>
      <c r="B111" s="51">
        <f>B94+B109</f>
        <v>29316553</v>
      </c>
      <c r="C111" s="52"/>
      <c r="D111" s="51">
        <f>D94+D109</f>
        <v>31016280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21" t="s">
        <v>104</v>
      </c>
      <c r="B116" s="121"/>
      <c r="C116" s="121"/>
      <c r="D116" s="121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opLeftCell="A28" workbookViewId="0">
      <selection activeCell="A69" sqref="A69"/>
    </sheetView>
  </sheetViews>
  <sheetFormatPr defaultColWidth="9.140625"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">
        <v>184</v>
      </c>
    </row>
    <row r="2" spans="1:5">
      <c r="A2" s="32" t="s">
        <v>193</v>
      </c>
    </row>
    <row r="3" spans="1:5">
      <c r="A3" s="32" t="s">
        <v>194</v>
      </c>
    </row>
    <row r="4" spans="1:5">
      <c r="A4" s="32" t="s">
        <v>71</v>
      </c>
    </row>
    <row r="5" spans="1:5">
      <c r="A5" s="31" t="s">
        <v>50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188</v>
      </c>
      <c r="C7" s="12"/>
      <c r="D7" s="12" t="s">
        <v>189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36</v>
      </c>
      <c r="B9" s="33"/>
      <c r="C9" s="34"/>
      <c r="D9" s="33"/>
      <c r="E9" s="33"/>
    </row>
    <row r="10" spans="1:5">
      <c r="A10" s="50" t="s">
        <v>145</v>
      </c>
      <c r="B10" s="55">
        <f>30077485</f>
        <v>30077485</v>
      </c>
      <c r="C10" s="34"/>
      <c r="D10" s="55">
        <f>22477539</f>
        <v>22477539</v>
      </c>
      <c r="E10" s="33"/>
    </row>
    <row r="11" spans="1:5">
      <c r="A11" s="50" t="s">
        <v>147</v>
      </c>
      <c r="B11" s="55">
        <f>0</f>
        <v>0</v>
      </c>
      <c r="C11" s="34"/>
      <c r="D11" s="55">
        <f>0</f>
        <v>0</v>
      </c>
      <c r="E11" s="33"/>
    </row>
    <row r="12" spans="1:5">
      <c r="A12" s="50" t="s">
        <v>148</v>
      </c>
      <c r="B12" s="55">
        <f>0</f>
        <v>0</v>
      </c>
      <c r="C12" s="34"/>
      <c r="D12" s="55">
        <f>0</f>
        <v>0</v>
      </c>
      <c r="E12" s="33"/>
    </row>
    <row r="13" spans="1:5">
      <c r="A13" s="50" t="s">
        <v>149</v>
      </c>
      <c r="B13" s="55">
        <f>0</f>
        <v>0</v>
      </c>
      <c r="C13" s="34"/>
      <c r="D13" s="55">
        <f>0</f>
        <v>0</v>
      </c>
      <c r="E13" s="33"/>
    </row>
    <row r="14" spans="1:5">
      <c r="A14" s="50" t="s">
        <v>146</v>
      </c>
      <c r="B14" s="55">
        <f>0</f>
        <v>0</v>
      </c>
      <c r="C14" s="34"/>
      <c r="D14" s="55">
        <f>0</f>
        <v>0</v>
      </c>
      <c r="E14" s="33"/>
    </row>
    <row r="15" spans="1:5">
      <c r="A15" s="19" t="s">
        <v>37</v>
      </c>
      <c r="B15" s="55">
        <f>0</f>
        <v>0</v>
      </c>
      <c r="C15" s="34"/>
      <c r="D15" s="55">
        <f>0</f>
        <v>0</v>
      </c>
      <c r="E15" s="33"/>
    </row>
    <row r="16" spans="1:5">
      <c r="A16" s="19" t="s">
        <v>38</v>
      </c>
      <c r="B16" s="55">
        <f>0</f>
        <v>0</v>
      </c>
      <c r="C16" s="34"/>
      <c r="D16" s="55">
        <f>0</f>
        <v>0</v>
      </c>
      <c r="E16" s="33"/>
    </row>
    <row r="17" spans="1:5">
      <c r="A17" s="19" t="s">
        <v>39</v>
      </c>
      <c r="B17" s="55">
        <f>0</f>
        <v>0</v>
      </c>
      <c r="C17" s="34"/>
      <c r="D17" s="55">
        <f>0</f>
        <v>0</v>
      </c>
      <c r="E17" s="33"/>
    </row>
    <row r="18" spans="1:5">
      <c r="A18" s="19" t="s">
        <v>40</v>
      </c>
      <c r="B18" s="33"/>
      <c r="C18" s="34"/>
      <c r="D18" s="33"/>
      <c r="E18" s="33"/>
    </row>
    <row r="19" spans="1:5">
      <c r="A19" s="50" t="s">
        <v>40</v>
      </c>
      <c r="B19" s="55">
        <f>-27100959</f>
        <v>-27100959</v>
      </c>
      <c r="C19" s="34"/>
      <c r="D19" s="55">
        <f>-21349534</f>
        <v>-21349534</v>
      </c>
      <c r="E19" s="33"/>
    </row>
    <row r="20" spans="1:5">
      <c r="A20" s="50" t="s">
        <v>91</v>
      </c>
      <c r="B20" s="55">
        <f>0</f>
        <v>0</v>
      </c>
      <c r="C20" s="34"/>
      <c r="D20" s="55">
        <f>0</f>
        <v>0</v>
      </c>
      <c r="E20" s="33"/>
    </row>
    <row r="21" spans="1:5">
      <c r="A21" s="19" t="s">
        <v>66</v>
      </c>
      <c r="B21" s="33"/>
      <c r="C21" s="34"/>
      <c r="D21" s="33"/>
      <c r="E21" s="33"/>
    </row>
    <row r="22" spans="1:5">
      <c r="A22" s="50" t="s">
        <v>92</v>
      </c>
      <c r="B22" s="55">
        <f>-1583000</f>
        <v>-1583000</v>
      </c>
      <c r="C22" s="34"/>
      <c r="D22" s="55">
        <f>-1740000</f>
        <v>-1740000</v>
      </c>
      <c r="E22" s="33"/>
    </row>
    <row r="23" spans="1:5">
      <c r="A23" s="50" t="s">
        <v>93</v>
      </c>
      <c r="B23" s="55">
        <f>-264361</f>
        <v>-264361</v>
      </c>
      <c r="C23" s="34"/>
      <c r="D23" s="55">
        <f>-290580</f>
        <v>-290580</v>
      </c>
      <c r="E23" s="33"/>
    </row>
    <row r="24" spans="1:5">
      <c r="A24" s="50" t="s">
        <v>95</v>
      </c>
      <c r="B24" s="55">
        <f>0</f>
        <v>0</v>
      </c>
      <c r="C24" s="34"/>
      <c r="D24" s="55">
        <f>0</f>
        <v>0</v>
      </c>
      <c r="E24" s="33"/>
    </row>
    <row r="25" spans="1:5">
      <c r="A25" s="19" t="s">
        <v>41</v>
      </c>
      <c r="B25" s="55">
        <f>0</f>
        <v>0</v>
      </c>
      <c r="C25" s="34"/>
      <c r="D25" s="55">
        <f>0</f>
        <v>0</v>
      </c>
      <c r="E25" s="33"/>
    </row>
    <row r="26" spans="1:5">
      <c r="A26" s="19" t="s">
        <v>56</v>
      </c>
      <c r="B26" s="55">
        <f>-120449</f>
        <v>-120449</v>
      </c>
      <c r="C26" s="34"/>
      <c r="D26" s="55">
        <f>-173633</f>
        <v>-173633</v>
      </c>
      <c r="E26" s="33"/>
    </row>
    <row r="27" spans="1:5">
      <c r="A27" s="19" t="s">
        <v>42</v>
      </c>
      <c r="B27" s="55">
        <f>-1153212</f>
        <v>-1153212</v>
      </c>
      <c r="C27" s="34"/>
      <c r="D27" s="55">
        <f>-1725199</f>
        <v>-1725199</v>
      </c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96</v>
      </c>
      <c r="B29" s="55">
        <f>0</f>
        <v>0</v>
      </c>
      <c r="C29" s="34"/>
      <c r="D29" s="55">
        <f>0</f>
        <v>0</v>
      </c>
      <c r="E29" s="33"/>
    </row>
    <row r="30" spans="1:5" ht="15" customHeight="1">
      <c r="A30" s="50" t="s">
        <v>94</v>
      </c>
      <c r="B30" s="55">
        <f>0</f>
        <v>0</v>
      </c>
      <c r="C30" s="34"/>
      <c r="D30" s="55">
        <f>0</f>
        <v>0</v>
      </c>
      <c r="E30" s="33"/>
    </row>
    <row r="31" spans="1:5" ht="15" customHeight="1">
      <c r="A31" s="50" t="s">
        <v>102</v>
      </c>
      <c r="B31" s="55">
        <f>0</f>
        <v>0</v>
      </c>
      <c r="C31" s="34"/>
      <c r="D31" s="55">
        <f>0</f>
        <v>0</v>
      </c>
      <c r="E31" s="33"/>
    </row>
    <row r="32" spans="1:5" ht="15" customHeight="1">
      <c r="A32" s="50" t="s">
        <v>97</v>
      </c>
      <c r="B32" s="55">
        <f>0</f>
        <v>0</v>
      </c>
      <c r="C32" s="34"/>
      <c r="D32" s="55">
        <f>0</f>
        <v>0</v>
      </c>
      <c r="E32" s="33"/>
    </row>
    <row r="33" spans="1:5" ht="15" customHeight="1">
      <c r="A33" s="50" t="s">
        <v>101</v>
      </c>
      <c r="B33" s="55">
        <f>0</f>
        <v>0</v>
      </c>
      <c r="C33" s="34"/>
      <c r="D33" s="55">
        <f>0</f>
        <v>0</v>
      </c>
      <c r="E33" s="33"/>
    </row>
    <row r="34" spans="1:5" ht="15" customHeight="1">
      <c r="A34" s="50" t="s">
        <v>98</v>
      </c>
      <c r="B34" s="55">
        <f>0</f>
        <v>0</v>
      </c>
      <c r="C34" s="34"/>
      <c r="D34" s="55">
        <f>0</f>
        <v>0</v>
      </c>
      <c r="E34" s="33"/>
    </row>
    <row r="35" spans="1:5">
      <c r="A35" s="19" t="s">
        <v>43</v>
      </c>
      <c r="B35" s="55">
        <f>0</f>
        <v>0</v>
      </c>
      <c r="C35" s="34"/>
      <c r="D35" s="55">
        <f>0</f>
        <v>0</v>
      </c>
      <c r="E35" s="33"/>
    </row>
    <row r="36" spans="1:5">
      <c r="A36" s="19" t="s">
        <v>67</v>
      </c>
      <c r="B36" s="33"/>
      <c r="C36" s="57"/>
      <c r="D36" s="33"/>
      <c r="E36" s="33"/>
    </row>
    <row r="37" spans="1:5">
      <c r="A37" s="50" t="s">
        <v>99</v>
      </c>
      <c r="B37" s="55">
        <f>-125594</f>
        <v>-125594</v>
      </c>
      <c r="C37" s="34"/>
      <c r="D37" s="55">
        <f>-65040</f>
        <v>-65040</v>
      </c>
      <c r="E37" s="33"/>
    </row>
    <row r="38" spans="1:5">
      <c r="A38" s="50" t="s">
        <v>100</v>
      </c>
      <c r="B38" s="55"/>
      <c r="C38" s="34"/>
      <c r="D38" s="55">
        <f>0</f>
        <v>0</v>
      </c>
      <c r="E38" s="33"/>
    </row>
    <row r="39" spans="1:5">
      <c r="A39" s="50" t="s">
        <v>195</v>
      </c>
      <c r="B39" s="55">
        <f>280664</f>
        <v>280664</v>
      </c>
      <c r="C39" s="34"/>
      <c r="D39" s="55">
        <f>0</f>
        <v>0</v>
      </c>
      <c r="E39" s="33"/>
    </row>
    <row r="40" spans="1:5">
      <c r="A40" s="19" t="s">
        <v>44</v>
      </c>
      <c r="B40" s="55"/>
      <c r="C40" s="34"/>
      <c r="D40" s="55">
        <f>0</f>
        <v>0</v>
      </c>
      <c r="E40" s="33"/>
    </row>
    <row r="41" spans="1:5">
      <c r="A41" s="96" t="s">
        <v>130</v>
      </c>
      <c r="B41" s="55"/>
      <c r="C41" s="34"/>
      <c r="D41" s="55">
        <f>0</f>
        <v>0</v>
      </c>
      <c r="E41" s="33"/>
    </row>
    <row r="42" spans="1:5">
      <c r="A42" s="19" t="s">
        <v>45</v>
      </c>
      <c r="B42" s="38">
        <f>SUM(B9:B41)</f>
        <v>10574</v>
      </c>
      <c r="C42" s="39"/>
      <c r="D42" s="38">
        <f>SUM(D9:D41)</f>
        <v>-2866447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46</v>
      </c>
      <c r="B44" s="55">
        <f>-B42*15%</f>
        <v>-1586.1</v>
      </c>
      <c r="C44" s="34"/>
      <c r="D44" s="55">
        <f>0</f>
        <v>0</v>
      </c>
      <c r="E44" s="33"/>
    </row>
    <row r="45" spans="1:5">
      <c r="A45" s="50" t="s">
        <v>47</v>
      </c>
      <c r="B45" s="55">
        <f>0</f>
        <v>0</v>
      </c>
      <c r="C45" s="34"/>
      <c r="D45" s="55">
        <f>0</f>
        <v>0</v>
      </c>
      <c r="E45" s="33"/>
    </row>
    <row r="46" spans="1:5">
      <c r="A46" s="50" t="s">
        <v>64</v>
      </c>
      <c r="B46" s="55">
        <f>0</f>
        <v>0</v>
      </c>
      <c r="C46" s="34"/>
      <c r="D46" s="55">
        <f>0</f>
        <v>0</v>
      </c>
      <c r="E46" s="33"/>
    </row>
    <row r="47" spans="1:5">
      <c r="A47" s="19" t="s">
        <v>87</v>
      </c>
      <c r="B47" s="58">
        <f>SUM(B42:B46)</f>
        <v>8987.9</v>
      </c>
      <c r="C47" s="44"/>
      <c r="D47" s="58">
        <f>SUM(D42:D46)</f>
        <v>-2866447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88</v>
      </c>
      <c r="B49" s="35"/>
      <c r="C49" s="35"/>
      <c r="D49" s="35"/>
      <c r="E49" s="45"/>
    </row>
    <row r="50" spans="1:5">
      <c r="A50" s="50" t="s">
        <v>51</v>
      </c>
      <c r="B50" s="56">
        <f>0</f>
        <v>0</v>
      </c>
      <c r="C50" s="35"/>
      <c r="D50" s="56">
        <f>0</f>
        <v>0</v>
      </c>
      <c r="E50" s="33"/>
    </row>
    <row r="51" spans="1:5">
      <c r="A51" s="50" t="s">
        <v>52</v>
      </c>
      <c r="B51" s="56">
        <f>0</f>
        <v>0</v>
      </c>
      <c r="C51" s="35"/>
      <c r="D51" s="56">
        <f>0</f>
        <v>0</v>
      </c>
      <c r="E51" s="33"/>
    </row>
    <row r="52" spans="1:5">
      <c r="A52" s="50" t="s">
        <v>53</v>
      </c>
      <c r="B52" s="56">
        <f>0</f>
        <v>0</v>
      </c>
      <c r="C52" s="35"/>
      <c r="D52" s="56">
        <f>0</f>
        <v>0</v>
      </c>
      <c r="E52" s="40"/>
    </row>
    <row r="53" spans="1:5" ht="15" customHeight="1">
      <c r="A53" s="50" t="s">
        <v>54</v>
      </c>
      <c r="B53" s="56">
        <f>0</f>
        <v>0</v>
      </c>
      <c r="C53" s="35"/>
      <c r="D53" s="56">
        <f>0</f>
        <v>0</v>
      </c>
      <c r="E53" s="46"/>
    </row>
    <row r="54" spans="1:5">
      <c r="A54" s="97" t="s">
        <v>16</v>
      </c>
      <c r="B54" s="56">
        <f>0</f>
        <v>0</v>
      </c>
      <c r="C54" s="35"/>
      <c r="D54" s="56">
        <f>0</f>
        <v>0</v>
      </c>
      <c r="E54" s="1"/>
    </row>
    <row r="55" spans="1:5">
      <c r="A55" s="62" t="s">
        <v>89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5.75" thickBot="1">
      <c r="A57" s="62" t="s">
        <v>90</v>
      </c>
      <c r="B57" s="69">
        <f>B47+B55</f>
        <v>8987.9</v>
      </c>
      <c r="C57" s="70"/>
      <c r="D57" s="69">
        <f>D47+D55</f>
        <v>-2866447</v>
      </c>
      <c r="E57" s="46"/>
    </row>
    <row r="58" spans="1:5" ht="15.75" thickTop="1">
      <c r="A58" s="65"/>
      <c r="B58" s="67"/>
      <c r="C58" s="68"/>
      <c r="D58" s="67"/>
      <c r="E58" s="46"/>
    </row>
    <row r="59" spans="1:5">
      <c r="A59" s="71" t="s">
        <v>55</v>
      </c>
      <c r="B59" s="67"/>
      <c r="C59" s="68"/>
      <c r="D59" s="67"/>
      <c r="E59" s="47"/>
    </row>
    <row r="60" spans="1:5">
      <c r="A60" s="65" t="s">
        <v>48</v>
      </c>
      <c r="B60" s="55"/>
      <c r="C60" s="33"/>
      <c r="D60" s="55"/>
      <c r="E60" s="47"/>
    </row>
    <row r="61" spans="1:5">
      <c r="A61" s="65" t="s">
        <v>49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131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52"/>
  <sheetViews>
    <sheetView topLeftCell="A22" workbookViewId="0">
      <selection activeCell="B42" sqref="B42"/>
    </sheetView>
  </sheetViews>
  <sheetFormatPr defaultColWidth="9.140625" defaultRowHeight="15"/>
  <cols>
    <col min="1" max="1" width="102.85546875" style="100" customWidth="1"/>
    <col min="2" max="2" width="18.7109375" style="100" customWidth="1"/>
    <col min="3" max="3" width="2.7109375" style="101" customWidth="1"/>
    <col min="4" max="4" width="18.7109375" style="100" customWidth="1"/>
    <col min="5" max="5" width="10.5703125" style="100" customWidth="1"/>
    <col min="6" max="6" width="10.7109375" style="100" customWidth="1"/>
    <col min="7" max="7" width="10.140625" style="100" customWidth="1"/>
    <col min="8" max="8" width="10.7109375" style="100" customWidth="1"/>
    <col min="9" max="9" width="11.5703125" style="100" customWidth="1"/>
    <col min="10" max="10" width="11" style="100" customWidth="1"/>
    <col min="11" max="16384" width="9.140625" style="100"/>
  </cols>
  <sheetData>
    <row r="1" spans="1:4">
      <c r="A1" s="104" t="s">
        <v>200</v>
      </c>
    </row>
    <row r="2" spans="1:4">
      <c r="A2" s="108" t="s">
        <v>201</v>
      </c>
    </row>
    <row r="3" spans="1:4">
      <c r="A3" s="108" t="s">
        <v>194</v>
      </c>
    </row>
    <row r="4" spans="1:4" ht="16.5" customHeight="1">
      <c r="A4" s="108" t="s">
        <v>71</v>
      </c>
    </row>
    <row r="5" spans="1:4" ht="16.5" customHeight="1">
      <c r="A5" s="104" t="s">
        <v>183</v>
      </c>
    </row>
    <row r="6" spans="1:4" ht="16.5" customHeight="1">
      <c r="A6" s="104"/>
    </row>
    <row r="7" spans="1:4" ht="15" customHeight="1">
      <c r="A7" s="122"/>
      <c r="B7" s="107" t="s">
        <v>9</v>
      </c>
      <c r="C7" s="107"/>
      <c r="D7" s="107" t="s">
        <v>9</v>
      </c>
    </row>
    <row r="8" spans="1:4" ht="15" customHeight="1">
      <c r="A8" s="122"/>
      <c r="B8" s="107" t="s">
        <v>188</v>
      </c>
      <c r="C8" s="107"/>
      <c r="D8" s="107" t="s">
        <v>189</v>
      </c>
    </row>
    <row r="9" spans="1:4">
      <c r="A9" s="106"/>
      <c r="B9" s="119"/>
      <c r="C9" s="119"/>
      <c r="D9" s="119"/>
    </row>
    <row r="10" spans="1:4">
      <c r="A10" s="105" t="s">
        <v>182</v>
      </c>
      <c r="B10" s="103"/>
      <c r="C10" s="102"/>
      <c r="D10" s="103"/>
    </row>
    <row r="11" spans="1:4">
      <c r="A11" s="118" t="s">
        <v>181</v>
      </c>
      <c r="B11" s="103">
        <f>36075007</f>
        <v>36075007</v>
      </c>
      <c r="C11" s="102"/>
      <c r="D11" s="103">
        <f>26709041</f>
        <v>26709041</v>
      </c>
    </row>
    <row r="12" spans="1:4">
      <c r="A12" s="118" t="s">
        <v>180</v>
      </c>
      <c r="B12" s="103">
        <f>-24180338-1847361</f>
        <v>-26027699</v>
      </c>
      <c r="C12" s="102"/>
      <c r="D12" s="103">
        <f>-19015295-2030580</f>
        <v>-21045875</v>
      </c>
    </row>
    <row r="13" spans="1:4">
      <c r="A13" s="120" t="s">
        <v>179</v>
      </c>
      <c r="B13" s="103"/>
      <c r="C13" s="102"/>
      <c r="D13" s="103"/>
    </row>
    <row r="14" spans="1:4">
      <c r="A14" s="118" t="s">
        <v>203</v>
      </c>
      <c r="B14" s="103">
        <f>-80949</f>
        <v>-80949</v>
      </c>
      <c r="C14" s="102"/>
      <c r="D14" s="103">
        <f>-93101</f>
        <v>-93101</v>
      </c>
    </row>
    <row r="15" spans="1:4">
      <c r="A15" s="118" t="s">
        <v>204</v>
      </c>
      <c r="B15" s="103">
        <f>-7836289</f>
        <v>-7836289</v>
      </c>
      <c r="C15" s="102"/>
      <c r="D15" s="103">
        <f>-4930367</f>
        <v>-4930367</v>
      </c>
    </row>
    <row r="16" spans="1:4">
      <c r="A16" s="118" t="s">
        <v>205</v>
      </c>
      <c r="B16" s="103">
        <f>-112100</f>
        <v>-112100</v>
      </c>
      <c r="C16" s="102"/>
      <c r="D16" s="103">
        <v>-99767</v>
      </c>
    </row>
    <row r="17" spans="1:4">
      <c r="A17" s="117" t="s">
        <v>202</v>
      </c>
      <c r="B17" s="103">
        <f>280669</f>
        <v>280669</v>
      </c>
      <c r="C17" s="102"/>
      <c r="D17" s="103">
        <f>174721</f>
        <v>174721</v>
      </c>
    </row>
    <row r="18" spans="1:4">
      <c r="A18" s="105" t="s">
        <v>178</v>
      </c>
      <c r="B18" s="103"/>
      <c r="C18" s="102"/>
      <c r="D18" s="103"/>
    </row>
    <row r="19" spans="1:4">
      <c r="A19" s="118" t="s">
        <v>177</v>
      </c>
      <c r="B19" s="103">
        <f>-125599</f>
        <v>-125599</v>
      </c>
      <c r="C19" s="102"/>
      <c r="D19" s="103">
        <f>-239765</f>
        <v>-239765</v>
      </c>
    </row>
    <row r="20" spans="1:4">
      <c r="A20" s="117" t="s">
        <v>176</v>
      </c>
      <c r="B20" s="103">
        <f>0</f>
        <v>0</v>
      </c>
      <c r="C20" s="102"/>
      <c r="D20" s="103">
        <f>-43557</f>
        <v>-43557</v>
      </c>
    </row>
    <row r="21" spans="1:4">
      <c r="A21" s="105" t="s">
        <v>175</v>
      </c>
      <c r="B21" s="116">
        <f>SUM(B11:B20)</f>
        <v>2173040</v>
      </c>
      <c r="C21" s="102"/>
      <c r="D21" s="116">
        <f>SUM(D11:D20)</f>
        <v>431330</v>
      </c>
    </row>
    <row r="22" spans="1:4">
      <c r="A22" s="117"/>
      <c r="B22" s="103"/>
      <c r="C22" s="102"/>
      <c r="D22" s="103"/>
    </row>
    <row r="23" spans="1:4" ht="13.5" customHeight="1">
      <c r="A23" s="105" t="s">
        <v>174</v>
      </c>
      <c r="B23" s="103"/>
      <c r="C23" s="102"/>
      <c r="D23" s="103"/>
    </row>
    <row r="24" spans="1:4" ht="13.5" customHeight="1">
      <c r="A24" s="117" t="s">
        <v>173</v>
      </c>
      <c r="B24" s="103"/>
      <c r="C24" s="102"/>
      <c r="D24" s="103"/>
    </row>
    <row r="25" spans="1:4" ht="13.5" customHeight="1">
      <c r="A25" s="117" t="s">
        <v>172</v>
      </c>
      <c r="B25" s="103"/>
      <c r="C25" s="102"/>
      <c r="D25" s="103"/>
    </row>
    <row r="26" spans="1:4" ht="13.5" customHeight="1">
      <c r="A26" s="117" t="s">
        <v>171</v>
      </c>
      <c r="B26" s="103"/>
      <c r="C26" s="102"/>
      <c r="D26" s="103"/>
    </row>
    <row r="27" spans="1:4" ht="13.5" customHeight="1">
      <c r="A27" s="117" t="s">
        <v>170</v>
      </c>
      <c r="B27" s="103"/>
      <c r="C27" s="102"/>
      <c r="D27" s="103"/>
    </row>
    <row r="28" spans="1:4" ht="13.5" customHeight="1">
      <c r="A28" s="117" t="s">
        <v>169</v>
      </c>
      <c r="B28" s="103"/>
      <c r="C28" s="102"/>
      <c r="D28" s="103"/>
    </row>
    <row r="29" spans="1:4" ht="13.5" customHeight="1">
      <c r="A29" s="117" t="s">
        <v>168</v>
      </c>
      <c r="B29" s="103"/>
      <c r="C29" s="102"/>
      <c r="D29" s="103"/>
    </row>
    <row r="30" spans="1:4" ht="13.5" customHeight="1">
      <c r="A30" s="117" t="s">
        <v>167</v>
      </c>
      <c r="B30" s="103"/>
      <c r="C30" s="102"/>
      <c r="D30" s="103"/>
    </row>
    <row r="31" spans="1:4">
      <c r="A31" s="117" t="s">
        <v>155</v>
      </c>
      <c r="B31" s="103"/>
      <c r="C31" s="102"/>
      <c r="D31" s="103"/>
    </row>
    <row r="32" spans="1:4">
      <c r="A32" s="105" t="s">
        <v>166</v>
      </c>
      <c r="B32" s="116">
        <f>SUM(B24:B31)</f>
        <v>0</v>
      </c>
      <c r="C32" s="102"/>
      <c r="D32" s="116">
        <f>SUM(D24:D31)</f>
        <v>0</v>
      </c>
    </row>
    <row r="33" spans="1:4">
      <c r="A33" s="115"/>
      <c r="B33" s="103"/>
      <c r="C33" s="102"/>
      <c r="D33" s="103"/>
    </row>
    <row r="34" spans="1:4">
      <c r="A34" s="105" t="s">
        <v>165</v>
      </c>
      <c r="B34" s="103"/>
      <c r="C34" s="102"/>
      <c r="D34" s="103"/>
    </row>
    <row r="35" spans="1:4">
      <c r="A35" s="117" t="s">
        <v>164</v>
      </c>
      <c r="B35" s="103"/>
      <c r="C35" s="102"/>
      <c r="D35" s="103"/>
    </row>
    <row r="36" spans="1:4">
      <c r="A36" s="117" t="s">
        <v>163</v>
      </c>
      <c r="B36" s="103"/>
      <c r="C36" s="102"/>
      <c r="D36" s="103"/>
    </row>
    <row r="37" spans="1:4">
      <c r="A37" s="117" t="s">
        <v>162</v>
      </c>
      <c r="B37" s="103"/>
      <c r="C37" s="102"/>
      <c r="D37" s="103">
        <f>1895397</f>
        <v>1895397</v>
      </c>
    </row>
    <row r="38" spans="1:4">
      <c r="A38" s="117" t="s">
        <v>161</v>
      </c>
      <c r="B38" s="103"/>
      <c r="C38" s="102"/>
      <c r="D38" s="103"/>
    </row>
    <row r="39" spans="1:4">
      <c r="A39" s="117" t="s">
        <v>160</v>
      </c>
      <c r="B39" s="103"/>
      <c r="C39" s="102"/>
      <c r="D39" s="103"/>
    </row>
    <row r="40" spans="1:4">
      <c r="A40" s="117" t="s">
        <v>159</v>
      </c>
      <c r="B40" s="103"/>
      <c r="C40" s="102"/>
      <c r="D40" s="103"/>
    </row>
    <row r="41" spans="1:4">
      <c r="A41" s="117" t="s">
        <v>158</v>
      </c>
      <c r="B41" s="103">
        <f>-690745</f>
        <v>-690745</v>
      </c>
      <c r="C41" s="102"/>
      <c r="D41" s="103"/>
    </row>
    <row r="42" spans="1:4">
      <c r="A42" s="117" t="s">
        <v>157</v>
      </c>
      <c r="B42" s="103"/>
      <c r="C42" s="102"/>
      <c r="D42" s="103"/>
    </row>
    <row r="43" spans="1:4">
      <c r="A43" s="117" t="s">
        <v>156</v>
      </c>
      <c r="B43" s="103"/>
      <c r="C43" s="102"/>
      <c r="D43" s="103"/>
    </row>
    <row r="44" spans="1:4">
      <c r="A44" s="117" t="s">
        <v>155</v>
      </c>
      <c r="B44" s="103"/>
      <c r="C44" s="102"/>
      <c r="D44" s="103"/>
    </row>
    <row r="45" spans="1:4">
      <c r="A45" s="105" t="s">
        <v>154</v>
      </c>
      <c r="B45" s="116">
        <f>SUM(B35:B44)</f>
        <v>-690745</v>
      </c>
      <c r="C45" s="102"/>
      <c r="D45" s="116">
        <f>SUM(D35:D44)</f>
        <v>1895397</v>
      </c>
    </row>
    <row r="46" spans="1:4">
      <c r="A46" s="115"/>
      <c r="B46" s="103"/>
      <c r="C46" s="102"/>
      <c r="D46" s="103"/>
    </row>
    <row r="47" spans="1:4">
      <c r="A47" s="105" t="s">
        <v>153</v>
      </c>
      <c r="B47" s="114">
        <f>B21+B32+B45</f>
        <v>1482295</v>
      </c>
      <c r="C47" s="102"/>
      <c r="D47" s="114">
        <f>D21+D32+D45</f>
        <v>2326727</v>
      </c>
    </row>
    <row r="48" spans="1:4">
      <c r="A48" s="113" t="s">
        <v>152</v>
      </c>
      <c r="B48" s="103">
        <f>-3488194</f>
        <v>-3488194</v>
      </c>
      <c r="C48" s="102"/>
      <c r="D48" s="103">
        <f>-5814921</f>
        <v>-5814921</v>
      </c>
    </row>
    <row r="49" spans="1:4">
      <c r="A49" s="113" t="s">
        <v>151</v>
      </c>
      <c r="B49" s="103"/>
      <c r="C49" s="102"/>
      <c r="D49" s="103"/>
    </row>
    <row r="50" spans="1:4" ht="15.75" thickBot="1">
      <c r="A50" s="112" t="s">
        <v>150</v>
      </c>
      <c r="B50" s="110">
        <f>B47+B48+B49</f>
        <v>-2005899</v>
      </c>
      <c r="C50" s="111"/>
      <c r="D50" s="110">
        <f>D47+D48+D49</f>
        <v>-3488194</v>
      </c>
    </row>
    <row r="51" spans="1:4" ht="15.75" thickTop="1">
      <c r="A51" s="109"/>
    </row>
    <row r="52" spans="1:4">
      <c r="A52" s="109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="90" zoomScaleNormal="90" workbookViewId="0">
      <selection activeCell="O20" sqref="O20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">
        <v>184</v>
      </c>
    </row>
    <row r="2" spans="1:12">
      <c r="A2" s="32" t="s">
        <v>193</v>
      </c>
    </row>
    <row r="3" spans="1:12">
      <c r="A3" s="32" t="s">
        <v>194</v>
      </c>
    </row>
    <row r="4" spans="1:12">
      <c r="A4" s="32" t="s">
        <v>71</v>
      </c>
    </row>
    <row r="5" spans="1:12">
      <c r="A5" s="31" t="s">
        <v>57</v>
      </c>
    </row>
    <row r="6" spans="1:12">
      <c r="A6" s="73"/>
    </row>
    <row r="7" spans="1:12" ht="72">
      <c r="B7" s="74" t="s">
        <v>132</v>
      </c>
      <c r="C7" s="74" t="s">
        <v>33</v>
      </c>
      <c r="D7" s="74" t="s">
        <v>34</v>
      </c>
      <c r="E7" s="74" t="s">
        <v>6</v>
      </c>
      <c r="F7" s="74" t="s">
        <v>103</v>
      </c>
      <c r="G7" s="74" t="s">
        <v>133</v>
      </c>
      <c r="H7" s="74" t="s">
        <v>134</v>
      </c>
      <c r="I7" s="74" t="s">
        <v>5</v>
      </c>
      <c r="J7" s="74" t="s">
        <v>58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196</v>
      </c>
      <c r="B10" s="69">
        <f>1100000</f>
        <v>1100000</v>
      </c>
      <c r="C10" s="69">
        <f>0</f>
        <v>0</v>
      </c>
      <c r="D10" s="69">
        <f>0</f>
        <v>0</v>
      </c>
      <c r="E10" s="69">
        <f>0</f>
        <v>0</v>
      </c>
      <c r="F10" s="69">
        <f>0</f>
        <v>0</v>
      </c>
      <c r="G10" s="69">
        <f>-2414295</f>
        <v>-2414295</v>
      </c>
      <c r="H10" s="69"/>
      <c r="I10" s="69">
        <f>SUM(B10:H10)</f>
        <v>-1314295</v>
      </c>
      <c r="J10" s="69"/>
      <c r="K10" s="69">
        <f>SUM(I10:J10)</f>
        <v>-1314295</v>
      </c>
      <c r="L10" s="76"/>
    </row>
    <row r="11" spans="1:12" ht="15.75" thickTop="1">
      <c r="A11" s="83" t="s">
        <v>135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197</v>
      </c>
      <c r="B12" s="85">
        <f>SUM(B10:B11)</f>
        <v>1100000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-2414295</v>
      </c>
      <c r="H12" s="85">
        <f t="shared" si="0"/>
        <v>0</v>
      </c>
      <c r="I12" s="85">
        <f>SUM(B12:H12)</f>
        <v>-1314295</v>
      </c>
      <c r="J12" s="85">
        <f t="shared" si="0"/>
        <v>0</v>
      </c>
      <c r="K12" s="85">
        <f>SUM(I12:J12)</f>
        <v>-1314295</v>
      </c>
      <c r="L12" s="76"/>
    </row>
    <row r="13" spans="1:12">
      <c r="A13" s="86" t="s">
        <v>136</v>
      </c>
      <c r="B13" s="80"/>
      <c r="C13" s="80"/>
      <c r="D13" s="80"/>
      <c r="E13" s="80"/>
      <c r="F13" s="80"/>
      <c r="G13" s="80"/>
      <c r="H13" s="67"/>
      <c r="I13" s="67">
        <f t="shared" ref="I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134</v>
      </c>
      <c r="B14" s="68"/>
      <c r="C14" s="68"/>
      <c r="D14" s="68"/>
      <c r="E14" s="68"/>
      <c r="F14" s="68"/>
      <c r="G14" s="67">
        <f>-2866447</f>
        <v>-2866447</v>
      </c>
      <c r="H14" s="99"/>
      <c r="I14" s="67">
        <f t="shared" si="1"/>
        <v>-2866447</v>
      </c>
      <c r="J14" s="99"/>
      <c r="K14" s="67">
        <f t="shared" si="2"/>
        <v>-2866447</v>
      </c>
      <c r="L14" s="76"/>
    </row>
    <row r="15" spans="1:12">
      <c r="A15" s="87" t="s">
        <v>137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138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139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-2866447</v>
      </c>
      <c r="H17" s="98">
        <f>SUM(H13:H16)</f>
        <v>0</v>
      </c>
      <c r="I17" s="88">
        <f t="shared" si="1"/>
        <v>-2866447</v>
      </c>
      <c r="J17" s="98">
        <f t="shared" si="3"/>
        <v>0</v>
      </c>
      <c r="K17" s="88">
        <f t="shared" si="2"/>
        <v>-2866447</v>
      </c>
      <c r="L17" s="76"/>
    </row>
    <row r="18" spans="1:12">
      <c r="A18" s="86" t="s">
        <v>140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141</v>
      </c>
      <c r="B19" s="68"/>
      <c r="C19" s="68"/>
      <c r="D19" s="68"/>
      <c r="E19" s="68"/>
      <c r="F19" s="68"/>
      <c r="G19" s="67"/>
      <c r="H19" s="67"/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142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143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144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198</v>
      </c>
      <c r="B24" s="91">
        <f>B12+B17+B22</f>
        <v>1100000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-5280742</v>
      </c>
      <c r="H24" s="91">
        <f t="shared" si="5"/>
        <v>0</v>
      </c>
      <c r="I24" s="91">
        <f t="shared" si="1"/>
        <v>-4180742</v>
      </c>
      <c r="J24" s="91">
        <f t="shared" si="5"/>
        <v>0</v>
      </c>
      <c r="K24" s="91">
        <f t="shared" si="2"/>
        <v>-4180742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136</v>
      </c>
      <c r="B26" s="68"/>
      <c r="C26" s="68"/>
      <c r="D26" s="68"/>
      <c r="E26" s="68"/>
      <c r="F26" s="68"/>
      <c r="G26" s="67">
        <f>8988</f>
        <v>8988</v>
      </c>
      <c r="H26" s="67"/>
      <c r="I26" s="67">
        <f t="shared" si="1"/>
        <v>8988</v>
      </c>
      <c r="J26" s="67"/>
      <c r="K26" s="67">
        <f t="shared" si="2"/>
        <v>8988</v>
      </c>
      <c r="L26" s="76"/>
    </row>
    <row r="27" spans="1:12">
      <c r="A27" s="87" t="s">
        <v>134</v>
      </c>
      <c r="B27" s="68"/>
      <c r="C27" s="68"/>
      <c r="D27" s="68"/>
      <c r="E27" s="68"/>
      <c r="F27" s="68"/>
      <c r="G27" s="67">
        <f>8988</f>
        <v>8988</v>
      </c>
      <c r="H27" s="99"/>
      <c r="I27" s="67">
        <f t="shared" si="1"/>
        <v>8988</v>
      </c>
      <c r="J27" s="99"/>
      <c r="K27" s="67">
        <f t="shared" si="2"/>
        <v>8988</v>
      </c>
      <c r="L27" s="76"/>
    </row>
    <row r="28" spans="1:12">
      <c r="A28" s="87" t="s">
        <v>137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138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139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8988</v>
      </c>
      <c r="H30" s="98">
        <f t="shared" si="6"/>
        <v>0</v>
      </c>
      <c r="I30" s="88">
        <f t="shared" si="1"/>
        <v>8988</v>
      </c>
      <c r="J30" s="98">
        <f t="shared" si="6"/>
        <v>0</v>
      </c>
      <c r="K30" s="88">
        <f t="shared" si="2"/>
        <v>8988</v>
      </c>
      <c r="L30" s="76"/>
    </row>
    <row r="31" spans="1:12">
      <c r="A31" s="86" t="s">
        <v>140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141</v>
      </c>
      <c r="B32" s="68"/>
      <c r="C32" s="68"/>
      <c r="D32" s="68"/>
      <c r="E32" s="68"/>
      <c r="F32" s="68"/>
      <c r="G32" s="67"/>
      <c r="H32" s="67"/>
      <c r="I32" s="67">
        <f t="shared" si="1"/>
        <v>0</v>
      </c>
      <c r="J32" s="67"/>
      <c r="K32" s="67">
        <f t="shared" si="2"/>
        <v>0</v>
      </c>
      <c r="L32" s="76"/>
    </row>
    <row r="33" spans="1:12">
      <c r="A33" s="89" t="s">
        <v>142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143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144</v>
      </c>
      <c r="B35" s="88">
        <f>SUM(B32:B34)</f>
        <v>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0</v>
      </c>
      <c r="J35" s="88">
        <f t="shared" si="7"/>
        <v>0</v>
      </c>
      <c r="K35" s="88">
        <f t="shared" si="2"/>
        <v>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199</v>
      </c>
      <c r="B37" s="91">
        <f>B24+B30+B35</f>
        <v>1100000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-5271754</v>
      </c>
      <c r="H37" s="91">
        <f t="shared" si="8"/>
        <v>0</v>
      </c>
      <c r="I37" s="91">
        <f t="shared" si="1"/>
        <v>-4171754</v>
      </c>
      <c r="J37" s="91">
        <f t="shared" si="8"/>
        <v>0</v>
      </c>
      <c r="K37" s="91">
        <f t="shared" si="2"/>
        <v>-4171754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2023-03-21T11:17:22Z</dcterms:modified>
</cp:coreProperties>
</file>