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8472" windowHeight="5640"/>
  </bookViews>
  <sheets>
    <sheet name="BK" sheetId="1" r:id="rId1"/>
    <sheet name="ardh-shpenz" sheetId="2" r:id="rId2"/>
    <sheet name="cash-flow" sheetId="3" r:id="rId3"/>
    <sheet name="kap veta" sheetId="4" r:id="rId4"/>
    <sheet name="AQ" sheetId="5" r:id="rId5"/>
  </sheets>
  <calcPr calcId="124519"/>
</workbook>
</file>

<file path=xl/calcChain.xml><?xml version="1.0" encoding="utf-8"?>
<calcChain xmlns="http://schemas.openxmlformats.org/spreadsheetml/2006/main">
  <c r="K16" i="5"/>
  <c r="E16"/>
  <c r="E9"/>
  <c r="E8"/>
  <c r="E38" i="3"/>
  <c r="G45"/>
  <c r="G40"/>
  <c r="G32"/>
  <c r="G12"/>
  <c r="G11"/>
  <c r="G9"/>
  <c r="G20" s="1"/>
  <c r="G24" s="1"/>
  <c r="E57" i="1"/>
  <c r="E22" i="2"/>
  <c r="E13"/>
  <c r="E12"/>
  <c r="E14"/>
  <c r="E8"/>
  <c r="G22"/>
  <c r="G14"/>
  <c r="G13"/>
  <c r="G12"/>
  <c r="G8"/>
  <c r="G17" s="1"/>
  <c r="G24" s="1"/>
  <c r="G81" i="1"/>
  <c r="E56"/>
  <c r="E54"/>
  <c r="E35"/>
  <c r="E23"/>
  <c r="E10"/>
  <c r="G82"/>
  <c r="G84" s="1"/>
  <c r="G72"/>
  <c r="G58"/>
  <c r="G56"/>
  <c r="G55"/>
  <c r="G54"/>
  <c r="G65" s="1"/>
  <c r="G52"/>
  <c r="G35"/>
  <c r="G39" s="1"/>
  <c r="G29"/>
  <c r="G31" s="1"/>
  <c r="G23"/>
  <c r="G18"/>
  <c r="G15"/>
  <c r="G14"/>
  <c r="G10"/>
  <c r="G12" s="1"/>
  <c r="K14" i="4"/>
  <c r="K15"/>
  <c r="E52" i="1"/>
  <c r="G42" i="3" l="1"/>
  <c r="G46" s="1"/>
  <c r="G28" i="2"/>
  <c r="G30" s="1"/>
  <c r="G41" i="1"/>
  <c r="G86" s="1"/>
  <c r="I8" i="5"/>
  <c r="E10"/>
  <c r="K9" i="4"/>
  <c r="F10" i="2"/>
  <c r="F9" i="4"/>
  <c r="G18" i="5"/>
  <c r="G16"/>
  <c r="G10"/>
  <c r="G19" s="1"/>
  <c r="K7" l="1"/>
  <c r="K8"/>
  <c r="K9"/>
  <c r="I10"/>
  <c r="K13"/>
  <c r="K14"/>
  <c r="K15"/>
  <c r="E19"/>
  <c r="I16"/>
  <c r="E18"/>
  <c r="I18"/>
  <c r="K12" i="4"/>
  <c r="I15"/>
  <c r="K16"/>
  <c r="C18"/>
  <c r="C25" s="1"/>
  <c r="E18"/>
  <c r="G18"/>
  <c r="G25" s="1"/>
  <c r="K21"/>
  <c r="I22"/>
  <c r="E25"/>
  <c r="E12" i="3"/>
  <c r="E40"/>
  <c r="E17" i="2"/>
  <c r="E24" s="1"/>
  <c r="E9" i="3" s="1"/>
  <c r="I13" i="4"/>
  <c r="E45" i="3"/>
  <c r="E44"/>
  <c r="E12" i="1"/>
  <c r="E18"/>
  <c r="E16" i="3" s="1"/>
  <c r="E29" i="1"/>
  <c r="E18" i="3" s="1"/>
  <c r="E27"/>
  <c r="E32" s="1"/>
  <c r="E39" i="1"/>
  <c r="E65"/>
  <c r="E19" i="3" s="1"/>
  <c r="E72" i="1"/>
  <c r="I19" i="5" l="1"/>
  <c r="K18"/>
  <c r="K10"/>
  <c r="E28" i="2"/>
  <c r="E31" i="1"/>
  <c r="E41" s="1"/>
  <c r="K13" i="4"/>
  <c r="K18" s="1"/>
  <c r="I18"/>
  <c r="E20" i="3"/>
  <c r="E24" s="1"/>
  <c r="E42" s="1"/>
  <c r="E46" s="1"/>
  <c r="K19" i="5" l="1"/>
  <c r="L19" s="1"/>
  <c r="I20" i="4"/>
  <c r="K20" s="1"/>
  <c r="K25" s="1"/>
  <c r="E81" i="1"/>
  <c r="E30" i="2" l="1"/>
  <c r="E82" i="1"/>
  <c r="E84" s="1"/>
  <c r="E86" s="1"/>
  <c r="I25" i="4"/>
  <c r="L25" l="1"/>
</calcChain>
</file>

<file path=xl/sharedStrings.xml><?xml version="1.0" encoding="utf-8"?>
<sst xmlns="http://schemas.openxmlformats.org/spreadsheetml/2006/main" count="187" uniqueCount="145">
  <si>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</si>
  <si>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</si>
  <si>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</si>
  <si>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</si>
  <si>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</si>
  <si>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</si>
  <si>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</si>
  <si>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</si>
  <si>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</si>
  <si>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</si>
  <si>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</si>
  <si>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</si>
  <si>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</si>
  <si>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</si>
  <si>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</si>
  <si>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</si>
  <si>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</si>
  <si>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</si>
  <si>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</si>
  <si>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</si>
  <si>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</si>
  <si>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</si>
  <si>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</si>
  <si>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</si>
  <si>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</si>
  <si>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</si>
  <si>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</si>
  <si>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</si>
  <si>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</si>
  <si>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</si>
  <si>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</si>
  <si>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</si>
  <si>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</si>
  <si>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</si>
  <si>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Rritielrenie ne tepricen e detyrimeve, per t'u paguar nga aktiviteti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</si>
  <si>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</si>
  <si>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</si>
  <si>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</si>
  <si>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</si>
  <si>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</si>
  <si>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</si>
  <si>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</si>
  <si>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</si>
  <si>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</si>
  <si>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</si>
  <si>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</si>
  <si>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</si>
  <si>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</si>
  <si>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</si>
  <si>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</si>
  <si>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</si>
  <si>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</si>
  <si>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</si>
  <si>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</si>
  <si>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</si>
  <si>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</si>
  <si>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</si>
  <si>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</si>
  <si>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</si>
  <si>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</si>
  <si>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</si>
  <si>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</si>
  <si>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</si>
  <si>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</si>
  <si>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</si>
  <si>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</si>
  <si>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</si>
  <si>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</si>
  <si>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</si>
  <si>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</si>
  <si>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</si>
  <si>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</si>
  <si>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</si>
  <si>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</si>
  <si>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</si>
  <si>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</si>
  <si>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</si>
  <si>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</si>
  <si>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</si>
  <si>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</si>
  <si>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</si>
  <si>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</si>
  <si>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</si>
  <si>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</si>
  <si>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</si>
  <si>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</si>
  <si>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</si>
  <si>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</si>
  <si>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</si>
  <si>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</si>
  <si>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</si>
  <si>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</si>
  <si>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Efekti i ndryshimeve ne politikat kontabel</t>
  </si>
  <si>
    <t>Fitimi neto per periudhen kontabel</t>
  </si>
  <si>
    <t>Rritje e rezerves se kapitalit</t>
  </si>
  <si>
    <t>Emetimi i aksioneve</t>
  </si>
  <si>
    <t>Aksione te thesarit te riblera</t>
  </si>
  <si>
    <t>Kapitali aksionar</t>
  </si>
  <si>
    <t>Rezerva ligjore statutore</t>
  </si>
  <si>
    <t>Fitimi i pashperndare</t>
  </si>
  <si>
    <t>Prime te lidhura me Kapitalin</t>
  </si>
  <si>
    <t>Te tjera detyrime</t>
  </si>
  <si>
    <t>(shumat ne Leke)</t>
  </si>
  <si>
    <t>Dif Konvertimi</t>
  </si>
  <si>
    <t>Mjete Transporti</t>
  </si>
  <si>
    <t>Aktive te Trupezuara</t>
  </si>
  <si>
    <t xml:space="preserve">Shtesa </t>
  </si>
  <si>
    <t>Pakesime</t>
  </si>
  <si>
    <t>Amortizimi</t>
  </si>
  <si>
    <t>Pasivet Afatshkurter</t>
  </si>
  <si>
    <t>Produkte te Gatshme</t>
  </si>
  <si>
    <t>Paraja neto e vendosur ne aktivitetet financiare</t>
  </si>
  <si>
    <t>Ulje akt kontrolli</t>
  </si>
  <si>
    <t>Shenime</t>
  </si>
  <si>
    <t>5a</t>
  </si>
  <si>
    <t>5b</t>
  </si>
  <si>
    <t>5c</t>
  </si>
  <si>
    <t>7a</t>
  </si>
  <si>
    <t>7c</t>
  </si>
  <si>
    <t>7b</t>
  </si>
  <si>
    <t>Rezerva  te  tjera</t>
  </si>
  <si>
    <t>SHUMA</t>
  </si>
  <si>
    <r>
      <t>Lendet e para</t>
    </r>
    <r>
      <rPr>
        <i/>
        <sz val="13"/>
        <rFont val="Times New Roman"/>
        <family val="1"/>
      </rPr>
      <t xml:space="preserve"> </t>
    </r>
  </si>
  <si>
    <t>Shoqeria  "VINTAGE"   sh p k</t>
  </si>
  <si>
    <t>Shoqeria  "VINTAGE   sh p k</t>
  </si>
  <si>
    <t xml:space="preserve">PASIVET  DHE  KAPITALl </t>
  </si>
  <si>
    <t>Administrator</t>
  </si>
  <si>
    <t>Makineri e paisje</t>
  </si>
  <si>
    <t>Paisje zyre dhe informatike</t>
  </si>
  <si>
    <t>Viti 2012</t>
  </si>
  <si>
    <t>Edmir  Bakalli</t>
  </si>
  <si>
    <t>Kontabel I miratuar</t>
  </si>
  <si>
    <t>Pellumbesha  Xaxa</t>
  </si>
  <si>
    <t>Shoqeria  "VINTAGE" shpk</t>
  </si>
  <si>
    <t>Bilanci   Kontabel  me  31 Dhjetor 2013</t>
  </si>
  <si>
    <t>Viti 2013</t>
  </si>
  <si>
    <t>Llogaria te Ardhura &amp; Shpenzime per vitin e mbyllur me 31 Dhjetor 2013</t>
  </si>
  <si>
    <t>Pasqyra e levizjes se kapitaleve te veta  me 31 Dhjetor 2012 dhe 2013</t>
  </si>
  <si>
    <t>Pozicioni me 01 JANAR 2012</t>
  </si>
  <si>
    <t>Pozicioni me 31 dhjetor 2012</t>
  </si>
  <si>
    <t>Pozicioni me 31 Dhjetor 2013</t>
  </si>
  <si>
    <t>Gjendje 01.01.2013</t>
  </si>
  <si>
    <t>Gjendje 31.12.2013</t>
  </si>
  <si>
    <t>Vlera neto 01.01.2013</t>
  </si>
  <si>
    <t>Vlera neto 31.12.2013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</si>
</sst>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_);\-#,##0.00"/>
    <numFmt numFmtId="165" formatCode="_(* #,##0_);_(* \(#,##0\);_(* &quot;-&quot;??_);_(@_)"/>
  </numFmts>
  <fonts count="3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b/>
      <sz val="13"/>
      <name val="Garamond"/>
      <family val="1"/>
    </font>
    <font>
      <sz val="13"/>
      <name val="Garamond"/>
      <family val="1"/>
    </font>
    <font>
      <i/>
      <sz val="13"/>
      <name val="Garamond"/>
      <family val="1"/>
    </font>
    <font>
      <sz val="11"/>
      <name val="Garamond"/>
      <family val="1"/>
    </font>
    <font>
      <i/>
      <sz val="11"/>
      <name val="Garamond"/>
      <family val="1"/>
    </font>
    <font>
      <b/>
      <sz val="11"/>
      <name val="Garamond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Garamond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</font>
    <font>
      <b/>
      <sz val="12"/>
      <name val="Garamond"/>
      <family val="1"/>
    </font>
    <font>
      <i/>
      <sz val="12"/>
      <name val="Garamond"/>
      <family val="1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43" fontId="2" fillId="0" borderId="0" xfId="0" applyNumberFormat="1" applyFont="1"/>
    <xf numFmtId="0" fontId="5" fillId="0" borderId="0" xfId="0" applyFont="1"/>
    <xf numFmtId="0" fontId="7" fillId="0" borderId="0" xfId="0" applyFont="1"/>
    <xf numFmtId="40" fontId="8" fillId="0" borderId="0" xfId="0" applyNumberFormat="1" applyFont="1" applyBorder="1" applyAlignment="1">
      <alignment horizontal="center" vertical="center"/>
    </xf>
    <xf numFmtId="40" fontId="8" fillId="0" borderId="0" xfId="0" applyNumberFormat="1" applyFont="1" applyBorder="1" applyAlignment="1">
      <alignment horizontal="center" vertical="center" wrapText="1"/>
    </xf>
    <xf numFmtId="40" fontId="8" fillId="0" borderId="0" xfId="0" applyNumberFormat="1" applyFont="1" applyBorder="1" applyAlignment="1">
      <alignment horizontal="justify" vertical="center"/>
    </xf>
    <xf numFmtId="38" fontId="9" fillId="0" borderId="0" xfId="0" applyNumberFormat="1" applyFont="1" applyBorder="1"/>
    <xf numFmtId="40" fontId="8" fillId="0" borderId="0" xfId="0" applyNumberFormat="1" applyFont="1" applyBorder="1"/>
    <xf numFmtId="38" fontId="8" fillId="0" borderId="0" xfId="0" applyNumberFormat="1" applyFont="1" applyBorder="1"/>
    <xf numFmtId="40" fontId="10" fillId="0" borderId="2" xfId="0" applyNumberFormat="1" applyFont="1" applyBorder="1"/>
    <xf numFmtId="40" fontId="10" fillId="0" borderId="0" xfId="0" applyNumberFormat="1" applyFont="1" applyBorder="1"/>
    <xf numFmtId="165" fontId="6" fillId="0" borderId="0" xfId="1" applyNumberFormat="1" applyFont="1"/>
    <xf numFmtId="40" fontId="0" fillId="0" borderId="0" xfId="0" applyNumberFormat="1"/>
    <xf numFmtId="39" fontId="0" fillId="0" borderId="0" xfId="0" applyNumberFormat="1"/>
    <xf numFmtId="43" fontId="0" fillId="0" borderId="0" xfId="0" applyNumberFormat="1"/>
    <xf numFmtId="39" fontId="7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0" fontId="12" fillId="0" borderId="0" xfId="0" applyFont="1" applyBorder="1"/>
    <xf numFmtId="4" fontId="12" fillId="0" borderId="0" xfId="0" applyNumberFormat="1" applyFont="1" applyBorder="1"/>
    <xf numFmtId="4" fontId="1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4" fontId="12" fillId="0" borderId="0" xfId="0" applyNumberFormat="1" applyFont="1" applyBorder="1" applyAlignment="1">
      <alignment horizontal="left" wrapText="1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 applyBorder="1"/>
    <xf numFmtId="0" fontId="14" fillId="0" borderId="3" xfId="0" applyFont="1" applyBorder="1" applyAlignment="1">
      <alignment horizontal="center"/>
    </xf>
    <xf numFmtId="40" fontId="13" fillId="0" borderId="0" xfId="0" applyNumberFormat="1" applyFont="1"/>
    <xf numFmtId="0" fontId="14" fillId="0" borderId="0" xfId="0" applyFont="1" applyBorder="1" applyAlignment="1">
      <alignment horizontal="center"/>
    </xf>
    <xf numFmtId="43" fontId="13" fillId="0" borderId="0" xfId="0" applyNumberFormat="1" applyFont="1"/>
    <xf numFmtId="0" fontId="14" fillId="0" borderId="0" xfId="0" applyFont="1"/>
    <xf numFmtId="43" fontId="2" fillId="0" borderId="0" xfId="0" applyNumberFormat="1" applyFont="1" applyBorder="1"/>
    <xf numFmtId="0" fontId="2" fillId="0" borderId="4" xfId="0" applyFont="1" applyBorder="1" applyAlignment="1">
      <alignment horizontal="left" wrapText="1"/>
    </xf>
    <xf numFmtId="0" fontId="16" fillId="0" borderId="0" xfId="0" applyFont="1" applyBorder="1"/>
    <xf numFmtId="0" fontId="16" fillId="0" borderId="0" xfId="0" applyFont="1"/>
    <xf numFmtId="0" fontId="12" fillId="0" borderId="4" xfId="0" applyFont="1" applyBorder="1"/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left" vertical="justify"/>
    </xf>
    <xf numFmtId="0" fontId="12" fillId="0" borderId="4" xfId="0" applyFont="1" applyBorder="1" applyAlignment="1">
      <alignment horizontal="center"/>
    </xf>
    <xf numFmtId="39" fontId="13" fillId="0" borderId="5" xfId="0" applyNumberFormat="1" applyFont="1" applyBorder="1"/>
    <xf numFmtId="39" fontId="13" fillId="0" borderId="4" xfId="0" applyNumberFormat="1" applyFont="1" applyBorder="1" applyAlignment="1">
      <alignment horizontal="right" wrapText="1"/>
    </xf>
    <xf numFmtId="39" fontId="13" fillId="0" borderId="4" xfId="0" applyNumberFormat="1" applyFont="1" applyBorder="1"/>
    <xf numFmtId="39" fontId="13" fillId="0" borderId="4" xfId="0" applyNumberFormat="1" applyFont="1" applyBorder="1" applyAlignment="1">
      <alignment horizontal="right"/>
    </xf>
    <xf numFmtId="39" fontId="13" fillId="0" borderId="4" xfId="0" applyNumberFormat="1" applyFont="1" applyBorder="1" applyAlignment="1">
      <alignment horizontal="left" wrapText="1"/>
    </xf>
    <xf numFmtId="0" fontId="17" fillId="0" borderId="0" xfId="0" applyFont="1"/>
    <xf numFmtId="0" fontId="18" fillId="0" borderId="0" xfId="0" applyFont="1" applyBorder="1"/>
    <xf numFmtId="0" fontId="19" fillId="0" borderId="0" xfId="0" applyFont="1" applyBorder="1"/>
    <xf numFmtId="0" fontId="19" fillId="0" borderId="0" xfId="0" applyFont="1"/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5" fillId="0" borderId="4" xfId="0" applyFont="1" applyBorder="1"/>
    <xf numFmtId="0" fontId="14" fillId="0" borderId="4" xfId="0" applyFont="1" applyBorder="1"/>
    <xf numFmtId="0" fontId="14" fillId="0" borderId="4" xfId="0" applyFont="1" applyBorder="1" applyAlignment="1"/>
    <xf numFmtId="0" fontId="20" fillId="0" borderId="4" xfId="0" applyFont="1" applyBorder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/>
    <xf numFmtId="43" fontId="20" fillId="0" borderId="4" xfId="1" applyFont="1" applyBorder="1"/>
    <xf numFmtId="0" fontId="21" fillId="0" borderId="4" xfId="0" applyFont="1" applyBorder="1" applyAlignment="1">
      <alignment horizontal="center"/>
    </xf>
    <xf numFmtId="0" fontId="20" fillId="0" borderId="4" xfId="0" applyFont="1" applyBorder="1" applyAlignment="1">
      <alignment wrapText="1"/>
    </xf>
    <xf numFmtId="0" fontId="12" fillId="0" borderId="0" xfId="0" applyFont="1" applyAlignment="1">
      <alignment horizontal="center"/>
    </xf>
    <xf numFmtId="43" fontId="12" fillId="0" borderId="4" xfId="1" applyFont="1" applyBorder="1"/>
    <xf numFmtId="39" fontId="12" fillId="0" borderId="4" xfId="0" applyNumberFormat="1" applyFont="1" applyBorder="1"/>
    <xf numFmtId="39" fontId="12" fillId="0" borderId="4" xfId="1" applyNumberFormat="1" applyFont="1" applyBorder="1"/>
    <xf numFmtId="0" fontId="11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43" fontId="12" fillId="0" borderId="0" xfId="0" applyNumberFormat="1" applyFont="1"/>
    <xf numFmtId="39" fontId="13" fillId="0" borderId="8" xfId="0" applyNumberFormat="1" applyFont="1" applyBorder="1" applyAlignment="1">
      <alignment horizontal="left" wrapText="1"/>
    </xf>
    <xf numFmtId="0" fontId="14" fillId="0" borderId="5" xfId="0" applyFont="1" applyBorder="1"/>
    <xf numFmtId="0" fontId="13" fillId="0" borderId="5" xfId="0" applyFont="1" applyBorder="1"/>
    <xf numFmtId="0" fontId="13" fillId="0" borderId="5" xfId="0" applyFont="1" applyBorder="1" applyAlignment="1">
      <alignment horizontal="left" wrapText="1"/>
    </xf>
    <xf numFmtId="0" fontId="13" fillId="0" borderId="8" xfId="0" applyFont="1" applyBorder="1"/>
    <xf numFmtId="0" fontId="13" fillId="0" borderId="4" xfId="0" applyFont="1" applyBorder="1" applyAlignment="1">
      <alignment horizontal="left" wrapText="1"/>
    </xf>
    <xf numFmtId="0" fontId="14" fillId="0" borderId="8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3" fillId="0" borderId="6" xfId="0" applyFont="1" applyBorder="1"/>
    <xf numFmtId="0" fontId="13" fillId="0" borderId="4" xfId="0" applyFont="1" applyBorder="1" applyAlignment="1">
      <alignment horizontal="left" vertical="justify" wrapText="1"/>
    </xf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1" fillId="0" borderId="7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4" fontId="17" fillId="0" borderId="3" xfId="0" applyNumberFormat="1" applyFont="1" applyFill="1" applyBorder="1" applyAlignment="1">
      <alignment horizontal="center" wrapText="1"/>
    </xf>
    <xf numFmtId="4" fontId="16" fillId="0" borderId="0" xfId="0" applyNumberFormat="1" applyFont="1" applyBorder="1"/>
    <xf numFmtId="4" fontId="0" fillId="0" borderId="0" xfId="0" applyNumberFormat="1"/>
    <xf numFmtId="43" fontId="12" fillId="0" borderId="0" xfId="0" applyNumberFormat="1" applyFont="1" applyBorder="1"/>
    <xf numFmtId="0" fontId="10" fillId="0" borderId="0" xfId="0" applyFont="1"/>
    <xf numFmtId="0" fontId="9" fillId="0" borderId="0" xfId="0" applyFont="1"/>
    <xf numFmtId="43" fontId="12" fillId="0" borderId="1" xfId="1" applyFont="1" applyBorder="1" applyAlignment="1">
      <alignment horizontal="center" wrapText="1"/>
    </xf>
    <xf numFmtId="43" fontId="12" fillId="0" borderId="0" xfId="1" applyFont="1" applyBorder="1" applyAlignment="1">
      <alignment horizontal="center" wrapText="1"/>
    </xf>
    <xf numFmtId="43" fontId="12" fillId="0" borderId="4" xfId="1" applyFont="1" applyBorder="1" applyAlignment="1">
      <alignment horizontal="left" wrapText="1"/>
    </xf>
    <xf numFmtId="43" fontId="12" fillId="0" borderId="4" xfId="1" applyFont="1" applyBorder="1" applyAlignment="1">
      <alignment horizontal="center" wrapText="1"/>
    </xf>
    <xf numFmtId="43" fontId="12" fillId="0" borderId="0" xfId="1" applyFont="1" applyBorder="1" applyAlignment="1">
      <alignment horizontal="left" wrapText="1"/>
    </xf>
    <xf numFmtId="43" fontId="12" fillId="0" borderId="2" xfId="1" applyFont="1" applyBorder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39" fontId="25" fillId="0" borderId="0" xfId="0" applyNumberFormat="1" applyFont="1"/>
    <xf numFmtId="43" fontId="4" fillId="0" borderId="2" xfId="1" applyFont="1" applyBorder="1" applyAlignment="1">
      <alignment horizontal="right" wrapText="1" indent="1"/>
    </xf>
    <xf numFmtId="43" fontId="4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right" wrapText="1" indent="1"/>
    </xf>
    <xf numFmtId="43" fontId="4" fillId="0" borderId="2" xfId="1" applyFont="1" applyBorder="1" applyAlignment="1">
      <alignment horizontal="center" wrapText="1"/>
    </xf>
    <xf numFmtId="43" fontId="4" fillId="0" borderId="0" xfId="1" applyFont="1" applyBorder="1" applyAlignment="1">
      <alignment horizontal="right" wrapText="1" indent="3"/>
    </xf>
    <xf numFmtId="43" fontId="26" fillId="0" borderId="4" xfId="1" applyFont="1" applyBorder="1" applyAlignment="1">
      <alignment horizontal="right" vertical="center"/>
    </xf>
    <xf numFmtId="43" fontId="27" fillId="0" borderId="4" xfId="1" applyFont="1" applyBorder="1"/>
    <xf numFmtId="0" fontId="27" fillId="0" borderId="4" xfId="0" applyFont="1" applyBorder="1"/>
    <xf numFmtId="164" fontId="26" fillId="0" borderId="4" xfId="0" applyNumberFormat="1" applyFont="1" applyBorder="1" applyAlignment="1">
      <alignment horizontal="right" vertical="center"/>
    </xf>
    <xf numFmtId="43" fontId="11" fillId="0" borderId="7" xfId="1" applyFont="1" applyBorder="1"/>
    <xf numFmtId="0" fontId="11" fillId="0" borderId="4" xfId="0" applyFont="1" applyBorder="1"/>
    <xf numFmtId="43" fontId="12" fillId="0" borderId="6" xfId="1" applyFont="1" applyBorder="1"/>
    <xf numFmtId="39" fontId="27" fillId="0" borderId="4" xfId="1" applyNumberFormat="1" applyFont="1" applyBorder="1"/>
    <xf numFmtId="43" fontId="12" fillId="0" borderId="4" xfId="0" applyNumberFormat="1" applyFont="1" applyBorder="1"/>
    <xf numFmtId="43" fontId="11" fillId="0" borderId="0" xfId="1" applyFont="1"/>
    <xf numFmtId="43" fontId="12" fillId="0" borderId="0" xfId="1" applyFont="1"/>
    <xf numFmtId="0" fontId="11" fillId="0" borderId="3" xfId="0" applyFont="1" applyBorder="1" applyAlignment="1">
      <alignment horizontal="center"/>
    </xf>
    <xf numFmtId="43" fontId="27" fillId="0" borderId="3" xfId="1" applyFont="1" applyBorder="1"/>
    <xf numFmtId="0" fontId="27" fillId="0" borderId="0" xfId="0" applyFont="1"/>
    <xf numFmtId="39" fontId="12" fillId="0" borderId="3" xfId="1" applyNumberFormat="1" applyFont="1" applyBorder="1"/>
    <xf numFmtId="43" fontId="11" fillId="0" borderId="3" xfId="0" applyNumberFormat="1" applyFont="1" applyBorder="1"/>
    <xf numFmtId="0" fontId="11" fillId="0" borderId="0" xfId="0" applyFont="1"/>
    <xf numFmtId="0" fontId="28" fillId="0" borderId="0" xfId="0" applyFont="1"/>
    <xf numFmtId="0" fontId="29" fillId="0" borderId="0" xfId="0" applyFont="1"/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/>
    <xf numFmtId="0" fontId="30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8"/>
  <sheetViews>
    <sheetView tabSelected="1" workbookViewId="0">
      <selection activeCell="E58" sqref="E58"/>
    </sheetView>
  </sheetViews>
  <sheetFormatPr defaultColWidth="9.109375" defaultRowHeight="15.6"/>
  <cols>
    <col min="1" max="1" width="3.33203125" style="34" customWidth="1"/>
    <col min="2" max="2" width="4.5546875" style="34" customWidth="1"/>
    <col min="3" max="3" width="44.44140625" style="32" customWidth="1"/>
    <col min="4" max="4" width="4.44140625" style="33" customWidth="1"/>
    <col min="5" max="5" width="19.109375" style="34" customWidth="1"/>
    <col min="6" max="6" width="1.44140625" style="34" customWidth="1"/>
    <col min="7" max="7" width="21.109375" style="34" bestFit="1" customWidth="1"/>
    <col min="8" max="8" width="9.109375" style="34"/>
    <col min="9" max="9" width="13.88671875" style="34" bestFit="1" customWidth="1"/>
    <col min="10" max="16384" width="9.109375" style="34"/>
  </cols>
  <sheetData>
    <row r="1" spans="2:7" ht="18" customHeight="1"/>
    <row r="2" spans="2:7">
      <c r="B2" s="131" t="s">
        <v>133</v>
      </c>
    </row>
    <row r="3" spans="2:7">
      <c r="B3" s="132" t="s">
        <v>134</v>
      </c>
    </row>
    <row r="4" spans="2:7">
      <c r="B4" s="132" t="s">
        <v>102</v>
      </c>
    </row>
    <row r="6" spans="2:7" ht="25.2" thickBot="1">
      <c r="B6" s="61" t="s">
        <v>0</v>
      </c>
      <c r="C6" s="63"/>
      <c r="D6" s="89" t="s">
        <v>113</v>
      </c>
      <c r="E6" s="90" t="s">
        <v>135</v>
      </c>
      <c r="F6" s="63"/>
      <c r="G6" s="90" t="s">
        <v>129</v>
      </c>
    </row>
    <row r="7" spans="2:7" ht="17.399999999999999" thickTop="1">
      <c r="B7" s="85"/>
      <c r="C7" s="87"/>
      <c r="D7" s="88"/>
      <c r="E7" s="87"/>
      <c r="F7" s="87"/>
      <c r="G7" s="87"/>
    </row>
    <row r="8" spans="2:7" ht="16.8">
      <c r="B8" s="62" t="s">
        <v>43</v>
      </c>
      <c r="C8" s="65"/>
      <c r="D8" s="64"/>
      <c r="E8" s="63"/>
      <c r="F8" s="63"/>
      <c r="G8" s="63"/>
    </row>
    <row r="9" spans="2:7" ht="8.25" customHeight="1">
      <c r="B9" s="58"/>
      <c r="C9" s="63"/>
      <c r="D9" s="64"/>
      <c r="E9" s="66"/>
      <c r="F9" s="63"/>
      <c r="G9" s="66"/>
    </row>
    <row r="10" spans="2:7" ht="27.75" customHeight="1">
      <c r="B10" s="58"/>
      <c r="C10" s="63" t="s">
        <v>1</v>
      </c>
      <c r="D10" s="136" t="s">
        <v>114</v>
      </c>
      <c r="E10" s="114">
        <f>1438+17742.31+86948.95</f>
        <v>106129.26</v>
      </c>
      <c r="F10" s="45"/>
      <c r="G10" s="114">
        <f>31585.62+13605.82</f>
        <v>45191.44</v>
      </c>
    </row>
    <row r="11" spans="2:7" ht="33.6">
      <c r="B11" s="58"/>
      <c r="C11" s="68" t="s">
        <v>42</v>
      </c>
      <c r="D11" s="136"/>
      <c r="E11" s="66"/>
      <c r="F11" s="63"/>
      <c r="G11" s="66"/>
    </row>
    <row r="12" spans="2:7" ht="19.5" customHeight="1">
      <c r="B12" s="58"/>
      <c r="C12" s="135" t="s">
        <v>121</v>
      </c>
      <c r="D12" s="136"/>
      <c r="E12" s="115">
        <f>SUM(E10:E11)</f>
        <v>106129.26</v>
      </c>
      <c r="F12" s="116"/>
      <c r="G12" s="115">
        <f>SUM(G10:G11)</f>
        <v>45191.44</v>
      </c>
    </row>
    <row r="13" spans="2:7" ht="16.8">
      <c r="B13" s="58" t="s">
        <v>44</v>
      </c>
      <c r="C13" s="63"/>
      <c r="D13" s="136"/>
      <c r="E13" s="70"/>
      <c r="F13" s="45"/>
      <c r="G13" s="70"/>
    </row>
    <row r="14" spans="2:7" ht="21.9" customHeight="1">
      <c r="B14" s="58"/>
      <c r="C14" s="63" t="s">
        <v>53</v>
      </c>
      <c r="D14" s="136" t="s">
        <v>115</v>
      </c>
      <c r="E14" s="117">
        <v>17855675.699999999</v>
      </c>
      <c r="F14" s="45"/>
      <c r="G14" s="117">
        <f>10801365.28</f>
        <v>10801365.279999999</v>
      </c>
    </row>
    <row r="15" spans="2:7" ht="21.9" customHeight="1">
      <c r="B15" s="58"/>
      <c r="C15" s="63" t="s">
        <v>45</v>
      </c>
      <c r="D15" s="136" t="s">
        <v>115</v>
      </c>
      <c r="E15" s="117"/>
      <c r="F15" s="45"/>
      <c r="G15" s="117">
        <f>75030</f>
        <v>75030</v>
      </c>
    </row>
    <row r="16" spans="2:7" ht="21.9" customHeight="1">
      <c r="B16" s="58"/>
      <c r="C16" s="63" t="s">
        <v>3</v>
      </c>
      <c r="D16" s="136"/>
      <c r="E16" s="70"/>
      <c r="F16" s="45"/>
      <c r="G16" s="70"/>
    </row>
    <row r="17" spans="2:7" ht="21.9" customHeight="1">
      <c r="B17" s="58"/>
      <c r="C17" s="63" t="s">
        <v>4</v>
      </c>
      <c r="D17" s="136"/>
      <c r="E17" s="70"/>
      <c r="F17" s="45"/>
      <c r="G17" s="70"/>
    </row>
    <row r="18" spans="2:7" ht="21.9" customHeight="1">
      <c r="B18" s="58"/>
      <c r="C18" s="135" t="s">
        <v>121</v>
      </c>
      <c r="D18" s="136"/>
      <c r="E18" s="115">
        <f>SUM(E14:E17)</f>
        <v>17855675.699999999</v>
      </c>
      <c r="F18" s="116"/>
      <c r="G18" s="115">
        <f>SUM(G14:G17)</f>
        <v>10876395.279999999</v>
      </c>
    </row>
    <row r="19" spans="2:7" ht="16.8">
      <c r="B19" s="58" t="s">
        <v>5</v>
      </c>
      <c r="C19" s="63"/>
      <c r="D19" s="136"/>
      <c r="E19" s="70"/>
      <c r="F19" s="45"/>
      <c r="G19" s="70"/>
    </row>
    <row r="20" spans="2:7" ht="16.8">
      <c r="B20" s="58"/>
      <c r="C20" s="63" t="s">
        <v>122</v>
      </c>
      <c r="D20" s="136"/>
      <c r="E20" s="70"/>
      <c r="F20" s="45"/>
      <c r="G20" s="70"/>
    </row>
    <row r="21" spans="2:7" ht="16.8">
      <c r="B21" s="58"/>
      <c r="C21" s="63" t="s">
        <v>6</v>
      </c>
      <c r="D21" s="136"/>
      <c r="E21" s="70"/>
      <c r="F21" s="45"/>
      <c r="G21" s="70"/>
    </row>
    <row r="22" spans="2:7" ht="16.8">
      <c r="B22" s="58"/>
      <c r="C22" s="63" t="s">
        <v>110</v>
      </c>
      <c r="D22" s="136" t="s">
        <v>116</v>
      </c>
      <c r="E22" s="70">
        <v>0</v>
      </c>
      <c r="F22" s="45"/>
      <c r="G22" s="70">
        <v>0</v>
      </c>
    </row>
    <row r="23" spans="2:7" ht="16.8">
      <c r="B23" s="58"/>
      <c r="C23" s="63" t="s">
        <v>46</v>
      </c>
      <c r="D23" s="136" t="s">
        <v>116</v>
      </c>
      <c r="E23" s="70">
        <f>10409718</f>
        <v>10409718</v>
      </c>
      <c r="F23" s="45"/>
      <c r="G23" s="70">
        <f>11130189+2870</f>
        <v>11133059</v>
      </c>
    </row>
    <row r="24" spans="2:7" ht="18.75" customHeight="1">
      <c r="B24" s="58"/>
      <c r="C24" s="63" t="s">
        <v>47</v>
      </c>
      <c r="D24" s="136"/>
      <c r="E24" s="70"/>
      <c r="F24" s="45"/>
      <c r="G24" s="70"/>
    </row>
    <row r="25" spans="2:7" ht="12.75" customHeight="1">
      <c r="B25" s="58"/>
      <c r="C25" s="63"/>
      <c r="D25" s="136"/>
      <c r="E25" s="70"/>
      <c r="F25" s="45"/>
      <c r="G25" s="70"/>
    </row>
    <row r="26" spans="2:7" ht="16.8">
      <c r="B26" s="58"/>
      <c r="C26" s="63" t="s">
        <v>48</v>
      </c>
      <c r="D26" s="136"/>
      <c r="E26" s="70"/>
      <c r="F26" s="45"/>
      <c r="G26" s="70"/>
    </row>
    <row r="27" spans="2:7" ht="16.8">
      <c r="B27" s="58"/>
      <c r="C27" s="63" t="s">
        <v>49</v>
      </c>
      <c r="D27" s="136"/>
      <c r="E27" s="70"/>
      <c r="F27" s="45"/>
      <c r="G27" s="70"/>
    </row>
    <row r="28" spans="2:7" ht="16.8">
      <c r="B28" s="58"/>
      <c r="C28" s="63" t="s">
        <v>50</v>
      </c>
      <c r="D28" s="136"/>
      <c r="E28" s="70">
        <v>1700</v>
      </c>
      <c r="F28" s="45"/>
      <c r="G28" s="70"/>
    </row>
    <row r="29" spans="2:7" ht="16.8">
      <c r="B29" s="58"/>
      <c r="C29" s="67" t="s">
        <v>121</v>
      </c>
      <c r="D29" s="136"/>
      <c r="E29" s="115">
        <f>SUM(E20:E28)</f>
        <v>10411418</v>
      </c>
      <c r="F29" s="45"/>
      <c r="G29" s="115">
        <f>SUM(G20:G28)</f>
        <v>11133059</v>
      </c>
    </row>
    <row r="30" spans="2:7" ht="16.8">
      <c r="B30" s="58"/>
      <c r="C30" s="63"/>
      <c r="D30" s="136"/>
      <c r="E30" s="70"/>
      <c r="F30" s="45"/>
      <c r="G30" s="70"/>
    </row>
    <row r="31" spans="2:7" ht="18.75" customHeight="1" thickBot="1">
      <c r="B31" s="58"/>
      <c r="C31" s="67" t="s">
        <v>51</v>
      </c>
      <c r="D31" s="136"/>
      <c r="E31" s="118">
        <f>+E29+E18+E12</f>
        <v>28373222.960000001</v>
      </c>
      <c r="F31" s="119"/>
      <c r="G31" s="118">
        <f>+G29+G18+G12</f>
        <v>22054645.720000003</v>
      </c>
    </row>
    <row r="32" spans="2:7" ht="17.399999999999999" thickTop="1">
      <c r="B32" s="58"/>
      <c r="C32" s="63"/>
      <c r="D32" s="136"/>
      <c r="E32" s="120"/>
      <c r="F32" s="45"/>
      <c r="G32" s="120"/>
    </row>
    <row r="33" spans="2:9" ht="16.8">
      <c r="B33" s="61" t="s">
        <v>7</v>
      </c>
      <c r="C33" s="63"/>
      <c r="D33" s="136"/>
      <c r="E33" s="70"/>
      <c r="F33" s="45"/>
      <c r="G33" s="70"/>
    </row>
    <row r="34" spans="2:9" ht="16.8">
      <c r="B34" s="58"/>
      <c r="C34" s="63" t="s">
        <v>52</v>
      </c>
      <c r="D34" s="136"/>
      <c r="E34" s="70"/>
      <c r="F34" s="45"/>
      <c r="G34" s="70"/>
    </row>
    <row r="35" spans="2:9" ht="20.100000000000001" customHeight="1">
      <c r="B35" s="58"/>
      <c r="C35" s="63" t="s">
        <v>54</v>
      </c>
      <c r="D35" s="136"/>
      <c r="E35" s="114">
        <f>279160+101145-52850-58047</f>
        <v>269408</v>
      </c>
      <c r="F35" s="45"/>
      <c r="G35" s="114">
        <f>412890+101145-148640-43681</f>
        <v>321714</v>
      </c>
      <c r="I35" s="39"/>
    </row>
    <row r="36" spans="2:9" ht="20.100000000000001" customHeight="1">
      <c r="B36" s="58"/>
      <c r="C36" s="63" t="s">
        <v>55</v>
      </c>
      <c r="D36" s="136"/>
      <c r="E36" s="70"/>
      <c r="F36" s="45"/>
      <c r="G36" s="70"/>
    </row>
    <row r="37" spans="2:9" ht="20.100000000000001" customHeight="1">
      <c r="B37" s="58"/>
      <c r="C37" s="63" t="s">
        <v>56</v>
      </c>
      <c r="D37" s="136"/>
      <c r="E37" s="70"/>
      <c r="F37" s="45"/>
      <c r="G37" s="70"/>
    </row>
    <row r="38" spans="2:9" ht="20.100000000000001" customHeight="1">
      <c r="B38" s="58"/>
      <c r="C38" s="63"/>
      <c r="D38" s="136"/>
      <c r="E38" s="70"/>
      <c r="F38" s="45"/>
      <c r="G38" s="70"/>
    </row>
    <row r="39" spans="2:9" ht="20.100000000000001" customHeight="1">
      <c r="B39" s="58"/>
      <c r="C39" s="67" t="s">
        <v>57</v>
      </c>
      <c r="D39" s="136">
        <v>6</v>
      </c>
      <c r="E39" s="121">
        <f>SUM(E34:E38)</f>
        <v>269408</v>
      </c>
      <c r="F39" s="116"/>
      <c r="G39" s="121">
        <f>SUM(G34:G38)</f>
        <v>321714</v>
      </c>
    </row>
    <row r="40" spans="2:9" ht="20.100000000000001" customHeight="1">
      <c r="B40" s="58"/>
      <c r="C40" s="63"/>
      <c r="D40" s="136"/>
      <c r="E40" s="70"/>
      <c r="F40" s="45"/>
      <c r="G40" s="70"/>
    </row>
    <row r="41" spans="2:9" ht="20.100000000000001" customHeight="1" thickBot="1">
      <c r="B41" s="58"/>
      <c r="C41" s="61" t="s">
        <v>58</v>
      </c>
      <c r="D41" s="136">
        <v>4</v>
      </c>
      <c r="E41" s="118">
        <f>+E39+E31</f>
        <v>28642630.960000001</v>
      </c>
      <c r="F41" s="122"/>
      <c r="G41" s="118">
        <f>+G39+G31</f>
        <v>22376359.720000003</v>
      </c>
    </row>
    <row r="42" spans="2:9" ht="16.2" thickTop="1">
      <c r="C42" s="35"/>
      <c r="E42" s="123"/>
      <c r="F42" s="76"/>
      <c r="G42" s="123"/>
    </row>
    <row r="43" spans="2:9">
      <c r="C43" s="35"/>
      <c r="E43" s="123"/>
      <c r="F43" s="76"/>
      <c r="G43" s="123"/>
    </row>
    <row r="44" spans="2:9">
      <c r="B44" s="131" t="s">
        <v>133</v>
      </c>
      <c r="E44" s="124"/>
      <c r="F44" s="76"/>
      <c r="G44" s="124"/>
    </row>
    <row r="45" spans="2:9">
      <c r="B45" s="132" t="s">
        <v>134</v>
      </c>
      <c r="E45" s="124"/>
      <c r="F45" s="24"/>
      <c r="G45" s="124"/>
    </row>
    <row r="46" spans="2:9">
      <c r="B46" s="132" t="s">
        <v>102</v>
      </c>
      <c r="E46" s="124"/>
      <c r="F46" s="24"/>
      <c r="G46" s="124"/>
    </row>
    <row r="47" spans="2:9">
      <c r="E47" s="124"/>
      <c r="F47" s="24"/>
      <c r="G47" s="124"/>
    </row>
    <row r="48" spans="2:9">
      <c r="E48" s="124"/>
      <c r="F48" s="24"/>
      <c r="G48" s="124"/>
    </row>
    <row r="49" spans="2:7" ht="25.2" thickBot="1">
      <c r="B49" s="40" t="s">
        <v>125</v>
      </c>
      <c r="D49" s="140" t="s">
        <v>113</v>
      </c>
      <c r="E49" s="125" t="s">
        <v>135</v>
      </c>
      <c r="F49" s="24"/>
      <c r="G49" s="125" t="s">
        <v>129</v>
      </c>
    </row>
    <row r="50" spans="2:7" ht="16.2" thickTop="1">
      <c r="D50" s="138"/>
      <c r="E50" s="24"/>
      <c r="F50" s="24"/>
      <c r="G50" s="24"/>
    </row>
    <row r="51" spans="2:7">
      <c r="B51" s="40" t="s">
        <v>109</v>
      </c>
      <c r="D51" s="138"/>
      <c r="E51" s="24"/>
      <c r="F51" s="24"/>
      <c r="G51" s="24"/>
    </row>
    <row r="52" spans="2:7" ht="18.899999999999999" customHeight="1">
      <c r="B52" s="58"/>
      <c r="C52" s="58" t="s">
        <v>59</v>
      </c>
      <c r="D52" s="136"/>
      <c r="E52" s="72">
        <f>5000000</f>
        <v>5000000</v>
      </c>
      <c r="F52" s="45"/>
      <c r="G52" s="72">
        <f>5000000</f>
        <v>5000000</v>
      </c>
    </row>
    <row r="53" spans="2:7" ht="18.899999999999999" customHeight="1">
      <c r="B53" s="58"/>
      <c r="C53" s="58" t="s">
        <v>60</v>
      </c>
      <c r="D53" s="136"/>
      <c r="E53" s="70"/>
      <c r="F53" s="45"/>
      <c r="G53" s="70"/>
    </row>
    <row r="54" spans="2:7" ht="18.899999999999999" customHeight="1">
      <c r="B54" s="58"/>
      <c r="C54" s="60" t="s">
        <v>61</v>
      </c>
      <c r="D54" s="136" t="s">
        <v>117</v>
      </c>
      <c r="E54" s="117">
        <f>5425827.03</f>
        <v>5425827.0300000003</v>
      </c>
      <c r="F54" s="45"/>
      <c r="G54" s="117">
        <f>6650240.95</f>
        <v>6650240.9500000002</v>
      </c>
    </row>
    <row r="55" spans="2:7" ht="18.899999999999999" customHeight="1">
      <c r="B55" s="58"/>
      <c r="C55" s="60" t="s">
        <v>62</v>
      </c>
      <c r="D55" s="136">
        <v>7</v>
      </c>
      <c r="E55" s="117">
        <v>812263</v>
      </c>
      <c r="F55" s="45"/>
      <c r="G55" s="117">
        <f>468397</f>
        <v>468397</v>
      </c>
    </row>
    <row r="56" spans="2:7" ht="18.899999999999999" customHeight="1">
      <c r="B56" s="58"/>
      <c r="C56" s="60" t="s">
        <v>8</v>
      </c>
      <c r="D56" s="136" t="s">
        <v>119</v>
      </c>
      <c r="E56" s="117">
        <f>34808+5076+2223732.57+932633</f>
        <v>3196249.57</v>
      </c>
      <c r="F56" s="45"/>
      <c r="G56" s="117">
        <f>11004+5100+3866+76574</f>
        <v>96544</v>
      </c>
    </row>
    <row r="57" spans="2:7" ht="18.899999999999999" customHeight="1">
      <c r="B57" s="58"/>
      <c r="C57" s="60" t="s">
        <v>101</v>
      </c>
      <c r="D57" s="136" t="s">
        <v>118</v>
      </c>
      <c r="E57" s="117">
        <f>3274282.76+1858985</f>
        <v>5133267.76</v>
      </c>
      <c r="F57" s="45"/>
      <c r="G57" s="117">
        <v>419580</v>
      </c>
    </row>
    <row r="58" spans="2:7" ht="18.899999999999999" customHeight="1">
      <c r="B58" s="58"/>
      <c r="C58" s="60" t="s">
        <v>63</v>
      </c>
      <c r="D58" s="136"/>
      <c r="E58" s="117"/>
      <c r="F58" s="45"/>
      <c r="G58" s="117">
        <f>550000+5453505.01</f>
        <v>6003505.0099999998</v>
      </c>
    </row>
    <row r="59" spans="2:7" ht="18.899999999999999" customHeight="1">
      <c r="B59" s="58"/>
      <c r="C59" s="60" t="s">
        <v>64</v>
      </c>
      <c r="D59" s="136"/>
      <c r="E59" s="117"/>
      <c r="F59" s="45"/>
      <c r="G59" s="117"/>
    </row>
    <row r="60" spans="2:7" ht="18.899999999999999" customHeight="1">
      <c r="B60" s="58"/>
      <c r="C60" s="58" t="s">
        <v>103</v>
      </c>
      <c r="D60" s="136"/>
      <c r="E60" s="70"/>
      <c r="F60" s="45"/>
      <c r="G60" s="70"/>
    </row>
    <row r="61" spans="2:7" ht="18.899999999999999" customHeight="1">
      <c r="B61" s="58"/>
      <c r="C61" s="58"/>
      <c r="D61" s="136"/>
      <c r="E61" s="70"/>
      <c r="F61" s="45"/>
      <c r="G61" s="70"/>
    </row>
    <row r="62" spans="2:7" ht="18.899999999999999" customHeight="1">
      <c r="B62" s="58"/>
      <c r="C62" s="58" t="s">
        <v>65</v>
      </c>
      <c r="D62" s="136"/>
      <c r="E62" s="70"/>
      <c r="F62" s="45"/>
      <c r="G62" s="70"/>
    </row>
    <row r="63" spans="2:7" ht="18.899999999999999" customHeight="1">
      <c r="B63" s="58"/>
      <c r="C63" s="58" t="s">
        <v>66</v>
      </c>
      <c r="D63" s="136"/>
      <c r="E63" s="70"/>
      <c r="F63" s="45"/>
      <c r="G63" s="70"/>
    </row>
    <row r="64" spans="2:7" ht="18.899999999999999" customHeight="1">
      <c r="B64" s="58"/>
      <c r="C64" s="58"/>
      <c r="D64" s="136"/>
      <c r="E64" s="70"/>
      <c r="F64" s="45"/>
      <c r="G64" s="70"/>
    </row>
    <row r="65" spans="2:9" ht="18.899999999999999" customHeight="1" thickBot="1">
      <c r="C65" s="38" t="s">
        <v>67</v>
      </c>
      <c r="D65" s="137">
        <v>7</v>
      </c>
      <c r="E65" s="126">
        <f>SUM(E52:E63)</f>
        <v>19567607.359999999</v>
      </c>
      <c r="F65" s="127"/>
      <c r="G65" s="126">
        <f>SUM(G52:G63)</f>
        <v>18638266.960000001</v>
      </c>
    </row>
    <row r="66" spans="2:9" ht="16.2" thickTop="1">
      <c r="D66" s="137"/>
      <c r="E66" s="124"/>
      <c r="F66" s="24"/>
      <c r="G66" s="124"/>
    </row>
    <row r="67" spans="2:9" ht="18.899999999999999" customHeight="1">
      <c r="B67" s="40" t="s">
        <v>68</v>
      </c>
      <c r="D67" s="137"/>
      <c r="E67" s="124"/>
      <c r="F67" s="24"/>
      <c r="G67" s="124"/>
    </row>
    <row r="68" spans="2:9" ht="18.899999999999999" customHeight="1">
      <c r="B68" s="58"/>
      <c r="C68" s="58" t="s">
        <v>69</v>
      </c>
      <c r="D68" s="136"/>
      <c r="E68" s="117"/>
      <c r="F68" s="45"/>
      <c r="G68" s="117"/>
    </row>
    <row r="69" spans="2:9" ht="18.899999999999999" customHeight="1">
      <c r="B69" s="58"/>
      <c r="C69" s="58" t="s">
        <v>70</v>
      </c>
      <c r="D69" s="136"/>
      <c r="E69" s="70"/>
      <c r="F69" s="45"/>
      <c r="G69" s="70"/>
    </row>
    <row r="70" spans="2:9" ht="18.899999999999999" customHeight="1">
      <c r="B70" s="58"/>
      <c r="C70" s="58" t="s">
        <v>71</v>
      </c>
      <c r="D70" s="136"/>
      <c r="E70" s="70"/>
      <c r="F70" s="45"/>
      <c r="G70" s="70"/>
    </row>
    <row r="71" spans="2:9" ht="18.899999999999999" customHeight="1">
      <c r="B71" s="58"/>
      <c r="C71" s="58" t="s">
        <v>65</v>
      </c>
      <c r="D71" s="136"/>
      <c r="E71" s="70"/>
      <c r="F71" s="45"/>
      <c r="G71" s="70"/>
    </row>
    <row r="72" spans="2:9" ht="18.899999999999999" customHeight="1" thickBot="1">
      <c r="C72" s="38" t="s">
        <v>72</v>
      </c>
      <c r="D72" s="137"/>
      <c r="E72" s="128">
        <f>SUM(E68:E71)</f>
        <v>0</v>
      </c>
      <c r="F72" s="24"/>
      <c r="G72" s="128">
        <f>SUM(G68:G71)</f>
        <v>0</v>
      </c>
    </row>
    <row r="73" spans="2:9" ht="18.899999999999999" customHeight="1" thickTop="1">
      <c r="D73" s="137"/>
      <c r="E73" s="124"/>
      <c r="F73" s="24"/>
      <c r="G73" s="124"/>
    </row>
    <row r="74" spans="2:9" ht="18.899999999999999" customHeight="1">
      <c r="B74" s="40" t="s">
        <v>73</v>
      </c>
      <c r="D74" s="137"/>
      <c r="E74" s="124"/>
      <c r="F74" s="24"/>
      <c r="G74" s="124"/>
    </row>
    <row r="75" spans="2:9" ht="18.899999999999999" customHeight="1">
      <c r="C75" s="58" t="s">
        <v>41</v>
      </c>
      <c r="D75" s="136"/>
      <c r="E75" s="117">
        <v>100000</v>
      </c>
      <c r="F75" s="45"/>
      <c r="G75" s="117">
        <v>100000</v>
      </c>
    </row>
    <row r="76" spans="2:9" ht="18.899999999999999" customHeight="1">
      <c r="C76" s="58" t="s">
        <v>100</v>
      </c>
      <c r="D76" s="139"/>
      <c r="E76" s="117"/>
      <c r="F76" s="45"/>
      <c r="G76" s="117"/>
      <c r="I76" s="37"/>
    </row>
    <row r="77" spans="2:9" ht="18.899999999999999" customHeight="1">
      <c r="C77" s="58" t="s">
        <v>74</v>
      </c>
      <c r="D77" s="136"/>
      <c r="E77" s="70"/>
      <c r="F77" s="45"/>
      <c r="G77" s="70"/>
    </row>
    <row r="78" spans="2:9" ht="18.899999999999999" customHeight="1">
      <c r="C78" s="58" t="s">
        <v>75</v>
      </c>
      <c r="D78" s="136"/>
      <c r="E78" s="70">
        <v>0</v>
      </c>
      <c r="F78" s="45"/>
      <c r="G78" s="70">
        <v>0</v>
      </c>
    </row>
    <row r="79" spans="2:9" ht="18.899999999999999" customHeight="1">
      <c r="C79" s="58" t="s">
        <v>9</v>
      </c>
      <c r="D79" s="136"/>
      <c r="E79" s="70"/>
      <c r="F79" s="45"/>
      <c r="G79" s="70"/>
    </row>
    <row r="80" spans="2:9" ht="18.899999999999999" customHeight="1">
      <c r="C80" s="58" t="s">
        <v>76</v>
      </c>
      <c r="D80" s="136"/>
      <c r="E80" s="117"/>
      <c r="F80" s="45"/>
      <c r="G80" s="117"/>
    </row>
    <row r="81" spans="3:9" ht="18.899999999999999" customHeight="1">
      <c r="C81" s="58" t="s">
        <v>77</v>
      </c>
      <c r="D81" s="136">
        <v>14</v>
      </c>
      <c r="E81" s="117">
        <f>'ardh-shpenz'!E28</f>
        <v>8975023.5999999996</v>
      </c>
      <c r="F81" s="45"/>
      <c r="G81" s="117">
        <f>3638092.76</f>
        <v>3638092.76</v>
      </c>
      <c r="I81" s="39"/>
    </row>
    <row r="82" spans="3:9" ht="23.25" customHeight="1" thickBot="1">
      <c r="C82" s="135" t="s">
        <v>121</v>
      </c>
      <c r="D82" s="137"/>
      <c r="E82" s="126">
        <f>SUM(E75:E81)</f>
        <v>9075023.5999999996</v>
      </c>
      <c r="F82" s="127"/>
      <c r="G82" s="126">
        <f>SUM(G75:G81)</f>
        <v>3738092.76</v>
      </c>
    </row>
    <row r="83" spans="3:9" ht="16.2" thickTop="1">
      <c r="C83" s="34"/>
      <c r="D83" s="137"/>
      <c r="E83" s="24"/>
      <c r="F83" s="24"/>
      <c r="G83" s="24"/>
    </row>
    <row r="84" spans="3:9" ht="16.2" thickBot="1">
      <c r="C84" s="134" t="s">
        <v>78</v>
      </c>
      <c r="D84" s="137">
        <v>4</v>
      </c>
      <c r="E84" s="129">
        <f>+E82+E72+E65</f>
        <v>28642630.960000001</v>
      </c>
      <c r="F84" s="130"/>
      <c r="G84" s="129">
        <f>+G82+G72+G65</f>
        <v>22376359.719999999</v>
      </c>
    </row>
    <row r="85" spans="3:9" ht="16.2" thickTop="1"/>
    <row r="86" spans="3:9" ht="23.25" customHeight="1">
      <c r="C86" s="104"/>
      <c r="E86" s="39">
        <f>E84-E41</f>
        <v>0</v>
      </c>
      <c r="G86" s="39">
        <f>G84-G41</f>
        <v>0</v>
      </c>
    </row>
    <row r="87" spans="3:9" ht="18" customHeight="1">
      <c r="C87" s="133" t="s">
        <v>131</v>
      </c>
      <c r="E87" s="107" t="s">
        <v>126</v>
      </c>
      <c r="G87" s="107"/>
    </row>
    <row r="88" spans="3:9">
      <c r="C88" s="133" t="s">
        <v>132</v>
      </c>
      <c r="E88" s="107" t="s">
        <v>130</v>
      </c>
      <c r="G88" s="107"/>
    </row>
  </sheetData>
  <phoneticPr fontId="3" type="noConversion"/>
  <pageMargins left="0" right="0" top="0" bottom="0" header="0" footer="0"/>
  <pageSetup paperSize="9" scale="99" orientation="portrait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I32"/>
  <sheetViews>
    <sheetView view="pageBreakPreview" zoomScale="60" workbookViewId="0">
      <selection activeCell="E7" sqref="E7"/>
    </sheetView>
  </sheetViews>
  <sheetFormatPr defaultColWidth="9.109375" defaultRowHeight="13.2"/>
  <cols>
    <col min="1" max="1" width="1.88671875" style="1" customWidth="1"/>
    <col min="2" max="2" width="3.88671875" style="1" customWidth="1"/>
    <col min="3" max="3" width="46.88671875" style="1" customWidth="1"/>
    <col min="4" max="4" width="3.88671875" style="23" customWidth="1"/>
    <col min="5" max="5" width="15.44140625" style="1" bestFit="1" customWidth="1"/>
    <col min="6" max="6" width="1.6640625" style="1" customWidth="1"/>
    <col min="7" max="7" width="15.44140625" style="1" bestFit="1" customWidth="1"/>
    <col min="8" max="8" width="1.6640625" style="1" customWidth="1"/>
    <col min="9" max="9" width="12.5546875" style="1" bestFit="1" customWidth="1"/>
    <col min="10" max="16384" width="9.109375" style="1"/>
  </cols>
  <sheetData>
    <row r="1" spans="2:8" ht="18" customHeight="1"/>
    <row r="2" spans="2:8" ht="17.399999999999999">
      <c r="B2" s="8" t="s">
        <v>124</v>
      </c>
    </row>
    <row r="3" spans="2:8">
      <c r="B3" s="108" t="s">
        <v>136</v>
      </c>
    </row>
    <row r="4" spans="2:8" ht="17.399999999999999">
      <c r="B4" s="22" t="s">
        <v>102</v>
      </c>
    </row>
    <row r="6" spans="2:8" ht="26.25" customHeight="1" thickBot="1">
      <c r="D6" s="91" t="s">
        <v>113</v>
      </c>
      <c r="E6" s="36" t="s">
        <v>135</v>
      </c>
      <c r="F6" s="34"/>
      <c r="G6" s="36" t="s">
        <v>129</v>
      </c>
      <c r="H6" s="34"/>
    </row>
    <row r="7" spans="2:8" ht="6" customHeight="1" thickTop="1">
      <c r="C7" s="24"/>
      <c r="D7" s="69"/>
      <c r="E7" s="24"/>
      <c r="F7" s="24"/>
      <c r="G7" s="24"/>
      <c r="H7" s="24"/>
    </row>
    <row r="8" spans="2:8" ht="21.9" customHeight="1">
      <c r="C8" s="45" t="s">
        <v>10</v>
      </c>
      <c r="D8" s="48">
        <v>9</v>
      </c>
      <c r="E8" s="70">
        <f>40175317.46+440000</f>
        <v>40615317.460000001</v>
      </c>
      <c r="F8" s="70"/>
      <c r="G8" s="70">
        <f>531316+23712934</f>
        <v>24244250</v>
      </c>
      <c r="H8" s="70"/>
    </row>
    <row r="9" spans="2:8" ht="21.9" customHeight="1">
      <c r="C9" s="45" t="s">
        <v>79</v>
      </c>
      <c r="D9" s="48"/>
      <c r="E9" s="72">
        <v>0</v>
      </c>
      <c r="F9" s="70"/>
      <c r="G9" s="72">
        <v>0</v>
      </c>
      <c r="H9" s="70"/>
    </row>
    <row r="10" spans="2:8" ht="33" customHeight="1">
      <c r="C10" s="47" t="s">
        <v>80</v>
      </c>
      <c r="D10" s="48"/>
      <c r="E10" s="70"/>
      <c r="F10" s="70">
        <f>570431.4+8510.2+503</f>
        <v>579444.6</v>
      </c>
      <c r="G10" s="70"/>
      <c r="H10" s="70"/>
    </row>
    <row r="11" spans="2:8" ht="32.25" customHeight="1">
      <c r="C11" s="47" t="s">
        <v>81</v>
      </c>
      <c r="D11" s="48"/>
      <c r="E11" s="70"/>
      <c r="F11" s="70"/>
      <c r="G11" s="70"/>
      <c r="H11" s="70"/>
    </row>
    <row r="12" spans="2:8" ht="21.9" customHeight="1">
      <c r="C12" s="45" t="s">
        <v>82</v>
      </c>
      <c r="D12" s="48">
        <v>10</v>
      </c>
      <c r="E12" s="70">
        <f>-2870-571151-149320-23300453.87-2058028-548384.15-11291.51-156852.34-404970</f>
        <v>-27203320.870000001</v>
      </c>
      <c r="F12" s="70"/>
      <c r="G12" s="70">
        <f>-0.29+1344338+56630-16503928.09-1187985.5-680232.15-1199895.02</f>
        <v>-18171073.049999997</v>
      </c>
      <c r="H12" s="70"/>
    </row>
    <row r="13" spans="2:8" ht="21.9" customHeight="1">
      <c r="C13" s="45" t="s">
        <v>83</v>
      </c>
      <c r="D13" s="48">
        <v>11</v>
      </c>
      <c r="E13" s="70">
        <f>-6224-120000-10450-66454.06-60000-28848.73-142270.34-49820</f>
        <v>-484067.13</v>
      </c>
      <c r="F13" s="70"/>
      <c r="G13" s="70">
        <f>-5375.49-68666-22334-80413-15000-42207.67-103780.54-41620-100</f>
        <v>-379496.69999999995</v>
      </c>
      <c r="H13" s="70"/>
    </row>
    <row r="14" spans="2:8" ht="21.9" customHeight="1">
      <c r="C14" s="45" t="s">
        <v>11</v>
      </c>
      <c r="D14" s="48">
        <v>12</v>
      </c>
      <c r="E14" s="70">
        <f>-1400968-233962</f>
        <v>-1634930</v>
      </c>
      <c r="F14" s="70"/>
      <c r="G14" s="70">
        <f>-760772-81327</f>
        <v>-842099</v>
      </c>
      <c r="H14" s="70"/>
    </row>
    <row r="15" spans="2:8" ht="21.9" customHeight="1">
      <c r="C15" s="45" t="s">
        <v>84</v>
      </c>
      <c r="D15" s="48"/>
      <c r="E15" s="71">
        <v>-67216</v>
      </c>
      <c r="F15" s="70"/>
      <c r="G15" s="71">
        <v>-85217</v>
      </c>
      <c r="H15" s="70"/>
    </row>
    <row r="16" spans="2:8" ht="13.8">
      <c r="C16" s="45"/>
      <c r="D16" s="48"/>
      <c r="E16" s="70"/>
      <c r="F16" s="70"/>
      <c r="G16" s="70"/>
      <c r="H16" s="70"/>
    </row>
    <row r="17" spans="2:9" s="2" customFormat="1" ht="21" customHeight="1">
      <c r="B17" s="3" t="s">
        <v>85</v>
      </c>
      <c r="C17" s="45"/>
      <c r="D17" s="48"/>
      <c r="E17" s="70">
        <f>SUM(E8:E16)</f>
        <v>11225783.459999999</v>
      </c>
      <c r="F17" s="70"/>
      <c r="G17" s="70">
        <f>SUM(G8:G16)</f>
        <v>4766364.2500000028</v>
      </c>
      <c r="H17" s="70"/>
    </row>
    <row r="18" spans="2:9" s="2" customFormat="1" ht="13.8">
      <c r="C18" s="46"/>
      <c r="D18" s="48"/>
      <c r="E18" s="70"/>
      <c r="F18" s="70"/>
      <c r="G18" s="70"/>
      <c r="H18" s="70"/>
    </row>
    <row r="19" spans="2:9" s="2" customFormat="1" ht="13.8">
      <c r="C19" s="45"/>
      <c r="D19" s="48"/>
      <c r="E19" s="70"/>
      <c r="F19" s="70"/>
      <c r="G19" s="70"/>
      <c r="H19" s="70"/>
    </row>
    <row r="20" spans="2:9" ht="27.6">
      <c r="C20" s="47" t="s">
        <v>86</v>
      </c>
      <c r="D20" s="48"/>
      <c r="E20" s="70"/>
      <c r="F20" s="70"/>
      <c r="G20" s="70"/>
      <c r="H20" s="70"/>
    </row>
    <row r="21" spans="2:9" ht="21.9" customHeight="1">
      <c r="C21" s="47" t="s">
        <v>87</v>
      </c>
      <c r="D21" s="48"/>
      <c r="E21" s="70"/>
      <c r="F21" s="70"/>
      <c r="G21" s="70"/>
      <c r="H21" s="70"/>
    </row>
    <row r="22" spans="2:9" ht="21.9" customHeight="1">
      <c r="C22" s="45" t="s">
        <v>12</v>
      </c>
      <c r="D22" s="48">
        <v>13</v>
      </c>
      <c r="E22" s="70">
        <f>-56000-215018-30716.12-931779.99-16119.25+203.09+0.41</f>
        <v>-1249429.8599999999</v>
      </c>
      <c r="F22" s="70"/>
      <c r="G22" s="70">
        <f>-713306.66-10146.2+10+1.37</f>
        <v>-723441.49</v>
      </c>
      <c r="H22" s="70"/>
    </row>
    <row r="23" spans="2:9" ht="13.8">
      <c r="C23" s="45"/>
      <c r="D23" s="48"/>
      <c r="E23" s="70"/>
      <c r="F23" s="70"/>
      <c r="G23" s="70"/>
      <c r="H23" s="70"/>
      <c r="I23" s="7"/>
    </row>
    <row r="24" spans="2:9" s="2" customFormat="1" ht="13.8">
      <c r="C24" s="73" t="s">
        <v>13</v>
      </c>
      <c r="D24" s="74">
        <v>14</v>
      </c>
      <c r="E24" s="70">
        <f>SUM(E17:E23)</f>
        <v>9976353.5999999996</v>
      </c>
      <c r="F24" s="70"/>
      <c r="G24" s="70">
        <f>SUM(G17:G23)</f>
        <v>4042922.7600000026</v>
      </c>
      <c r="H24" s="70"/>
    </row>
    <row r="25" spans="2:9" s="2" customFormat="1" ht="13.8">
      <c r="C25" s="46"/>
      <c r="D25" s="74"/>
      <c r="E25" s="70"/>
      <c r="F25" s="70"/>
      <c r="G25" s="70"/>
      <c r="H25" s="70"/>
    </row>
    <row r="26" spans="2:9" s="2" customFormat="1" ht="18.75" customHeight="1">
      <c r="C26" s="46" t="s">
        <v>14</v>
      </c>
      <c r="D26" s="74">
        <v>14</v>
      </c>
      <c r="E26" s="70">
        <v>-1001330</v>
      </c>
      <c r="F26" s="70"/>
      <c r="G26" s="70">
        <v>-404830</v>
      </c>
      <c r="H26" s="70"/>
    </row>
    <row r="27" spans="2:9" s="2" customFormat="1" ht="13.8">
      <c r="C27" s="46"/>
      <c r="D27" s="74"/>
      <c r="E27" s="70"/>
      <c r="F27" s="70"/>
      <c r="G27" s="70"/>
      <c r="H27" s="70"/>
    </row>
    <row r="28" spans="2:9" s="2" customFormat="1" ht="18" customHeight="1">
      <c r="C28" s="73" t="s">
        <v>15</v>
      </c>
      <c r="D28" s="48">
        <v>14</v>
      </c>
      <c r="E28" s="70">
        <f>SUM(E24:E27)</f>
        <v>8975023.5999999996</v>
      </c>
      <c r="F28" s="70"/>
      <c r="G28" s="70">
        <f>SUM(G24:G27)</f>
        <v>3638092.7600000026</v>
      </c>
      <c r="H28" s="70"/>
    </row>
    <row r="29" spans="2:9" s="2" customFormat="1" ht="13.8">
      <c r="C29" s="27"/>
      <c r="D29" s="75"/>
      <c r="E29" s="95"/>
      <c r="F29" s="27"/>
      <c r="G29" s="95"/>
      <c r="H29" s="27"/>
    </row>
    <row r="30" spans="2:9" ht="13.8">
      <c r="C30" s="24"/>
      <c r="D30" s="69"/>
      <c r="E30" s="76">
        <f>+E28-BK!E81</f>
        <v>0</v>
      </c>
      <c r="F30" s="24"/>
      <c r="G30" s="76">
        <f>+G28-BK!G81</f>
        <v>0</v>
      </c>
      <c r="H30" s="24"/>
    </row>
    <row r="31" spans="2:9" ht="13.8">
      <c r="E31" s="107" t="s">
        <v>126</v>
      </c>
      <c r="G31" s="107"/>
    </row>
    <row r="32" spans="2:9" ht="13.8">
      <c r="E32" s="107" t="s">
        <v>130</v>
      </c>
      <c r="G32" s="107"/>
    </row>
  </sheetData>
  <phoneticPr fontId="3" type="noConversion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49"/>
  <sheetViews>
    <sheetView topLeftCell="A22" zoomScale="75" zoomScaleNormal="75" workbookViewId="0">
      <selection activeCell="E8" sqref="E8"/>
    </sheetView>
  </sheetViews>
  <sheetFormatPr defaultColWidth="9.109375" defaultRowHeight="13.8"/>
  <cols>
    <col min="1" max="1" width="4.44140625" style="24" customWidth="1"/>
    <col min="2" max="2" width="2.6640625" style="24" customWidth="1"/>
    <col min="3" max="3" width="61.44140625" style="24" customWidth="1"/>
    <col min="4" max="4" width="2" style="24" customWidth="1"/>
    <col min="5" max="5" width="16.5546875" style="25" customWidth="1"/>
    <col min="6" max="6" width="3.6640625" style="25" customWidth="1"/>
    <col min="7" max="7" width="16.5546875" style="25" customWidth="1"/>
    <col min="8" max="8" width="11.5546875" style="24" customWidth="1"/>
    <col min="9" max="16384" width="9.109375" style="24"/>
  </cols>
  <sheetData>
    <row r="2" spans="2:7" ht="18" customHeight="1">
      <c r="B2" s="54" t="s">
        <v>123</v>
      </c>
      <c r="C2" s="44"/>
    </row>
    <row r="3" spans="2:7" ht="18">
      <c r="B3" s="55" t="s">
        <v>25</v>
      </c>
      <c r="C3" s="44"/>
    </row>
    <row r="4" spans="2:7" s="27" customFormat="1" ht="18">
      <c r="B4" s="56" t="s">
        <v>134</v>
      </c>
      <c r="C4" s="43"/>
      <c r="E4" s="28"/>
      <c r="F4" s="28"/>
      <c r="G4" s="28"/>
    </row>
    <row r="5" spans="2:7" s="27" customFormat="1" ht="18">
      <c r="B5" s="57" t="s">
        <v>102</v>
      </c>
      <c r="C5" s="43"/>
      <c r="E5" s="28"/>
      <c r="F5" s="28"/>
      <c r="G5" s="28"/>
    </row>
    <row r="6" spans="2:7" s="27" customFormat="1" ht="18">
      <c r="B6" s="43"/>
      <c r="C6" s="43"/>
      <c r="D6" s="30"/>
      <c r="E6" s="31"/>
      <c r="F6" s="28"/>
      <c r="G6" s="31"/>
    </row>
    <row r="7" spans="2:7" s="27" customFormat="1" ht="22.5" customHeight="1" thickBot="1">
      <c r="C7" s="30"/>
      <c r="D7" s="30"/>
      <c r="E7" s="92" t="s">
        <v>135</v>
      </c>
      <c r="F7" s="93"/>
      <c r="G7" s="92" t="s">
        <v>129</v>
      </c>
    </row>
    <row r="8" spans="2:7" s="27" customFormat="1" ht="17.100000000000001" customHeight="1" thickTop="1">
      <c r="B8" s="78" t="s">
        <v>26</v>
      </c>
      <c r="C8" s="79"/>
      <c r="D8" s="80"/>
      <c r="E8" s="77"/>
      <c r="F8" s="49"/>
      <c r="G8" s="77"/>
    </row>
    <row r="9" spans="2:7" s="27" customFormat="1" ht="20.100000000000001" customHeight="1">
      <c r="B9" s="81"/>
      <c r="C9" s="58" t="s">
        <v>27</v>
      </c>
      <c r="D9" s="82"/>
      <c r="E9" s="50">
        <f>'ardh-shpenz'!E24</f>
        <v>9976353.5999999996</v>
      </c>
      <c r="F9" s="50"/>
      <c r="G9" s="50">
        <f>'ardh-shpenz'!G24</f>
        <v>4042922.7600000026</v>
      </c>
    </row>
    <row r="10" spans="2:7" s="27" customFormat="1" ht="20.100000000000001" customHeight="1">
      <c r="B10" s="81"/>
      <c r="C10" s="58" t="s">
        <v>28</v>
      </c>
      <c r="D10" s="82"/>
      <c r="E10" s="50"/>
      <c r="F10" s="51"/>
      <c r="G10" s="50"/>
    </row>
    <row r="11" spans="2:7" s="27" customFormat="1" ht="20.100000000000001" customHeight="1">
      <c r="B11" s="81"/>
      <c r="C11" s="58" t="s">
        <v>29</v>
      </c>
      <c r="D11" s="82"/>
      <c r="E11" s="50">
        <v>67216</v>
      </c>
      <c r="F11" s="50"/>
      <c r="G11" s="50">
        <f>85217</f>
        <v>85217</v>
      </c>
    </row>
    <row r="12" spans="2:7" s="27" customFormat="1" ht="20.100000000000001" customHeight="1">
      <c r="B12" s="81"/>
      <c r="C12" s="58" t="s">
        <v>30</v>
      </c>
      <c r="D12" s="82"/>
      <c r="E12" s="50">
        <f>+BK!E60-BK!G60</f>
        <v>0</v>
      </c>
      <c r="F12" s="50"/>
      <c r="G12" s="50">
        <f>+BK!G60-BK!I60</f>
        <v>0</v>
      </c>
    </row>
    <row r="13" spans="2:7" s="27" customFormat="1" ht="20.100000000000001" customHeight="1">
      <c r="B13" s="81"/>
      <c r="C13" s="58" t="s">
        <v>31</v>
      </c>
      <c r="D13" s="82"/>
      <c r="E13" s="53"/>
      <c r="F13" s="51"/>
      <c r="G13" s="53"/>
    </row>
    <row r="14" spans="2:7" s="27" customFormat="1" ht="20.100000000000001" customHeight="1">
      <c r="B14" s="81"/>
      <c r="C14" s="58" t="s">
        <v>32</v>
      </c>
      <c r="D14" s="82"/>
      <c r="E14" s="50">
        <v>0</v>
      </c>
      <c r="F14" s="51"/>
      <c r="G14" s="50">
        <v>0</v>
      </c>
    </row>
    <row r="15" spans="2:7" s="27" customFormat="1" ht="20.100000000000001" customHeight="1">
      <c r="B15" s="81"/>
      <c r="C15" s="82"/>
      <c r="D15" s="82"/>
      <c r="E15" s="53"/>
      <c r="F15" s="51"/>
      <c r="G15" s="53"/>
    </row>
    <row r="16" spans="2:7" s="27" customFormat="1" ht="39" customHeight="1">
      <c r="B16" s="81"/>
      <c r="C16" s="86" t="s">
        <v>88</v>
      </c>
      <c r="D16" s="58"/>
      <c r="E16" s="51">
        <f>BK!G18-BK!E18</f>
        <v>-6979280.4199999999</v>
      </c>
      <c r="F16" s="53"/>
      <c r="G16" s="51">
        <v>-4904279.28</v>
      </c>
    </row>
    <row r="17" spans="2:7" s="27" customFormat="1" ht="16.5" customHeight="1">
      <c r="B17" s="81"/>
      <c r="C17" s="58"/>
      <c r="D17" s="58"/>
      <c r="E17" s="53"/>
      <c r="F17" s="53"/>
      <c r="G17" s="53"/>
    </row>
    <row r="18" spans="2:7" s="27" customFormat="1" ht="20.100000000000001" customHeight="1">
      <c r="B18" s="81"/>
      <c r="C18" s="58" t="s">
        <v>33</v>
      </c>
      <c r="D18" s="58"/>
      <c r="E18" s="50">
        <f>BK!G29-BK!E29</f>
        <v>721641</v>
      </c>
      <c r="F18" s="53"/>
      <c r="G18" s="50">
        <v>-1403838</v>
      </c>
    </row>
    <row r="19" spans="2:7" s="27" customFormat="1" ht="20.100000000000001" customHeight="1">
      <c r="B19" s="81"/>
      <c r="C19" s="58" t="s">
        <v>34</v>
      </c>
      <c r="D19" s="58"/>
      <c r="E19" s="51">
        <f>BK!E65-BK!G65+'ardh-shpenz'!E26-'cash-flow'!E22</f>
        <v>140010.39999999851</v>
      </c>
      <c r="F19" s="53"/>
      <c r="G19" s="51">
        <v>2789874.94</v>
      </c>
    </row>
    <row r="20" spans="2:7" s="27" customFormat="1" ht="28.5" customHeight="1">
      <c r="B20" s="81"/>
      <c r="C20" s="60" t="s">
        <v>35</v>
      </c>
      <c r="D20" s="58"/>
      <c r="E20" s="50">
        <f>SUM(E9:E19)</f>
        <v>3925940.5799999982</v>
      </c>
      <c r="F20" s="50"/>
      <c r="G20" s="50">
        <f>SUM(G9:G19)</f>
        <v>609897.42000000225</v>
      </c>
    </row>
    <row r="21" spans="2:7" s="27" customFormat="1" ht="20.100000000000001" customHeight="1">
      <c r="B21" s="81"/>
      <c r="C21" s="58" t="s">
        <v>16</v>
      </c>
      <c r="D21" s="58"/>
      <c r="E21" s="50"/>
      <c r="F21" s="53"/>
      <c r="G21" s="50"/>
    </row>
    <row r="22" spans="2:7" s="27" customFormat="1" ht="20.100000000000001" customHeight="1">
      <c r="B22" s="81"/>
      <c r="C22" s="58" t="s">
        <v>17</v>
      </c>
      <c r="D22" s="58"/>
      <c r="E22" s="50">
        <v>-212000</v>
      </c>
      <c r="F22" s="53"/>
      <c r="G22" s="50">
        <v>-212000</v>
      </c>
    </row>
    <row r="23" spans="2:7" s="27" customFormat="1" ht="20.100000000000001" customHeight="1">
      <c r="B23" s="81"/>
      <c r="C23" s="58"/>
      <c r="D23" s="58"/>
      <c r="E23" s="53"/>
      <c r="F23" s="53"/>
      <c r="G23" s="53"/>
    </row>
    <row r="24" spans="2:7" s="27" customFormat="1" ht="20.100000000000001" customHeight="1">
      <c r="B24" s="83" t="s">
        <v>18</v>
      </c>
      <c r="C24" s="58"/>
      <c r="D24" s="58"/>
      <c r="E24" s="51">
        <f>SUM(E20:E23)</f>
        <v>3713940.5799999982</v>
      </c>
      <c r="F24" s="53"/>
      <c r="G24" s="51">
        <f>SUM(G20:G23)</f>
        <v>397897.42000000225</v>
      </c>
    </row>
    <row r="25" spans="2:7" s="27" customFormat="1" ht="20.100000000000001" customHeight="1">
      <c r="B25" s="83"/>
      <c r="C25" s="58"/>
      <c r="D25" s="58"/>
      <c r="E25" s="51"/>
      <c r="F25" s="53"/>
      <c r="G25" s="51"/>
    </row>
    <row r="26" spans="2:7" s="27" customFormat="1" ht="20.100000000000001" customHeight="1">
      <c r="B26" s="81"/>
      <c r="C26" s="58" t="s">
        <v>36</v>
      </c>
      <c r="D26" s="58"/>
      <c r="E26" s="51"/>
      <c r="F26" s="53"/>
      <c r="G26" s="51"/>
    </row>
    <row r="27" spans="2:7" s="27" customFormat="1" ht="20.100000000000001" customHeight="1">
      <c r="B27" s="81"/>
      <c r="C27" s="58" t="s">
        <v>37</v>
      </c>
      <c r="D27" s="58"/>
      <c r="E27" s="50">
        <f>-BK!E35+BK!G35+'ardh-shpenz'!E15</f>
        <v>-14910</v>
      </c>
      <c r="F27" s="50"/>
      <c r="G27" s="50"/>
    </row>
    <row r="28" spans="2:7" s="27" customFormat="1" ht="20.100000000000001" customHeight="1">
      <c r="B28" s="81"/>
      <c r="C28" s="58" t="s">
        <v>38</v>
      </c>
      <c r="D28" s="58"/>
      <c r="E28" s="53"/>
      <c r="F28" s="53"/>
      <c r="G28" s="53"/>
    </row>
    <row r="29" spans="2:7" s="27" customFormat="1" ht="20.100000000000001" customHeight="1">
      <c r="B29" s="81"/>
      <c r="C29" s="58" t="s">
        <v>19</v>
      </c>
      <c r="D29" s="58"/>
      <c r="E29" s="53"/>
      <c r="F29" s="53"/>
      <c r="G29" s="53"/>
    </row>
    <row r="30" spans="2:7" s="27" customFormat="1" ht="20.100000000000001" customHeight="1">
      <c r="B30" s="81"/>
      <c r="C30" s="58" t="s">
        <v>20</v>
      </c>
      <c r="D30" s="58"/>
      <c r="E30" s="53"/>
      <c r="F30" s="53"/>
      <c r="G30" s="53"/>
    </row>
    <row r="31" spans="2:7" s="27" customFormat="1" ht="20.100000000000001" customHeight="1">
      <c r="B31" s="81"/>
      <c r="C31" s="82"/>
      <c r="D31" s="82"/>
      <c r="E31" s="53"/>
      <c r="F31" s="53"/>
      <c r="G31" s="53"/>
    </row>
    <row r="32" spans="2:7" s="27" customFormat="1" ht="20.100000000000001" customHeight="1">
      <c r="B32" s="81"/>
      <c r="C32" s="59" t="s">
        <v>89</v>
      </c>
      <c r="D32" s="58"/>
      <c r="E32" s="51">
        <f>SUM(E26:E30)</f>
        <v>-14910</v>
      </c>
      <c r="F32" s="53"/>
      <c r="G32" s="51">
        <f>SUM(G26:G30)</f>
        <v>0</v>
      </c>
    </row>
    <row r="33" spans="2:8" s="27" customFormat="1" ht="20.100000000000001" customHeight="1">
      <c r="B33" s="81"/>
      <c r="C33" s="82"/>
      <c r="D33" s="82"/>
      <c r="E33" s="53"/>
      <c r="F33" s="53"/>
      <c r="G33" s="53"/>
    </row>
    <row r="34" spans="2:8" s="27" customFormat="1" ht="20.100000000000001" customHeight="1">
      <c r="B34" s="81"/>
      <c r="C34" s="58" t="s">
        <v>91</v>
      </c>
      <c r="D34" s="58"/>
      <c r="E34" s="51"/>
      <c r="F34" s="53"/>
      <c r="G34" s="51"/>
    </row>
    <row r="35" spans="2:8" s="27" customFormat="1" ht="20.100000000000001" customHeight="1">
      <c r="B35" s="81"/>
      <c r="C35" s="58" t="s">
        <v>21</v>
      </c>
      <c r="D35" s="58"/>
      <c r="E35" s="51"/>
      <c r="F35" s="53"/>
      <c r="G35" s="51"/>
    </row>
    <row r="36" spans="2:8" s="27" customFormat="1" ht="20.100000000000001" customHeight="1">
      <c r="B36" s="81"/>
      <c r="C36" s="58" t="s">
        <v>39</v>
      </c>
      <c r="D36" s="58"/>
      <c r="E36" s="53"/>
      <c r="F36" s="53"/>
      <c r="G36" s="53"/>
    </row>
    <row r="37" spans="2:8" s="27" customFormat="1" ht="20.100000000000001" customHeight="1">
      <c r="B37" s="81"/>
      <c r="C37" s="58" t="s">
        <v>22</v>
      </c>
      <c r="D37" s="58"/>
      <c r="E37" s="50"/>
      <c r="F37" s="53"/>
      <c r="G37" s="50"/>
    </row>
    <row r="38" spans="2:8" s="27" customFormat="1" ht="20.100000000000001" customHeight="1">
      <c r="B38" s="81"/>
      <c r="C38" s="58" t="s">
        <v>40</v>
      </c>
      <c r="D38" s="58"/>
      <c r="E38" s="50">
        <f>-3638092.75-0.01</f>
        <v>-3638092.76</v>
      </c>
      <c r="F38" s="53"/>
      <c r="G38" s="50">
        <v>-932150.58</v>
      </c>
    </row>
    <row r="39" spans="2:8" s="27" customFormat="1" ht="20.100000000000001" customHeight="1">
      <c r="B39" s="81"/>
      <c r="C39" s="82"/>
      <c r="D39" s="82"/>
      <c r="E39" s="50"/>
      <c r="F39" s="53"/>
      <c r="G39" s="50"/>
    </row>
    <row r="40" spans="2:8" s="27" customFormat="1" ht="20.100000000000001" customHeight="1">
      <c r="B40" s="81"/>
      <c r="C40" s="59" t="s">
        <v>111</v>
      </c>
      <c r="D40" s="58"/>
      <c r="E40" s="51">
        <f>SUM(E34:E39)</f>
        <v>-3638092.76</v>
      </c>
      <c r="F40" s="53"/>
      <c r="G40" s="51">
        <f>SUM(G34:G39)</f>
        <v>-932150.58</v>
      </c>
    </row>
    <row r="41" spans="2:8" s="27" customFormat="1" ht="20.100000000000001" customHeight="1">
      <c r="B41" s="81"/>
      <c r="C41" s="82"/>
      <c r="D41" s="82"/>
      <c r="E41" s="53"/>
      <c r="F41" s="53"/>
      <c r="G41" s="53"/>
    </row>
    <row r="42" spans="2:8" s="27" customFormat="1" ht="20.100000000000001" customHeight="1">
      <c r="B42" s="81"/>
      <c r="C42" s="84" t="s">
        <v>23</v>
      </c>
      <c r="D42" s="58"/>
      <c r="E42" s="50">
        <f>+E40+E24+E32</f>
        <v>60937.819999998435</v>
      </c>
      <c r="F42" s="53"/>
      <c r="G42" s="50">
        <f>+G40+G24+G32</f>
        <v>-534253.1599999977</v>
      </c>
      <c r="H42" s="28"/>
    </row>
    <row r="43" spans="2:8" s="27" customFormat="1" ht="20.100000000000001" customHeight="1">
      <c r="B43" s="81"/>
      <c r="C43" s="84"/>
      <c r="D43" s="58"/>
      <c r="E43" s="50"/>
      <c r="F43" s="53"/>
      <c r="G43" s="50"/>
      <c r="H43" s="28"/>
    </row>
    <row r="44" spans="2:8" s="27" customFormat="1" ht="20.100000000000001" customHeight="1">
      <c r="B44" s="81"/>
      <c r="C44" s="84" t="s">
        <v>90</v>
      </c>
      <c r="D44" s="58"/>
      <c r="E44" s="50">
        <f>+G45</f>
        <v>45191.44</v>
      </c>
      <c r="F44" s="53"/>
      <c r="G44" s="50">
        <v>579444.6</v>
      </c>
    </row>
    <row r="45" spans="2:8" s="27" customFormat="1" ht="20.100000000000001" customHeight="1">
      <c r="B45" s="85"/>
      <c r="C45" s="84" t="s">
        <v>24</v>
      </c>
      <c r="D45" s="58"/>
      <c r="E45" s="52">
        <f>BK!E10</f>
        <v>106129.26</v>
      </c>
      <c r="F45" s="51"/>
      <c r="G45" s="52">
        <f>BK!G10</f>
        <v>45191.44</v>
      </c>
    </row>
    <row r="46" spans="2:8" s="27" customFormat="1" ht="21" customHeight="1">
      <c r="E46" s="28">
        <f>E42+E44-E45</f>
        <v>-1.5570549294352531E-9</v>
      </c>
      <c r="F46" s="28"/>
      <c r="G46" s="28">
        <f>G42+G44-G45</f>
        <v>2.2700987756252289E-9</v>
      </c>
    </row>
    <row r="47" spans="2:8" s="27" customFormat="1" ht="20.25" customHeight="1">
      <c r="C47" s="105"/>
      <c r="E47" s="29"/>
      <c r="F47" s="29"/>
      <c r="G47" s="29"/>
    </row>
    <row r="48" spans="2:8" ht="15.6">
      <c r="C48" s="106"/>
      <c r="E48" s="107" t="s">
        <v>126</v>
      </c>
      <c r="F48" s="26"/>
      <c r="G48" s="26"/>
    </row>
    <row r="49" spans="5:5">
      <c r="E49" s="107" t="s">
        <v>130</v>
      </c>
    </row>
  </sheetData>
  <phoneticPr fontId="3" type="noConversion"/>
  <pageMargins left="0.75" right="0.75" top="0.47" bottom="0.5" header="0.42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L30"/>
  <sheetViews>
    <sheetView view="pageBreakPreview" zoomScale="60" workbookViewId="0">
      <selection activeCell="I22" sqref="I22"/>
    </sheetView>
  </sheetViews>
  <sheetFormatPr defaultColWidth="9.109375" defaultRowHeight="13.2"/>
  <cols>
    <col min="1" max="1" width="2.6640625" style="1" customWidth="1"/>
    <col min="2" max="2" width="33.5546875" style="1" customWidth="1"/>
    <col min="3" max="3" width="13" style="1" customWidth="1"/>
    <col min="4" max="4" width="2.88671875" style="1" customWidth="1"/>
    <col min="5" max="5" width="12.44140625" style="1" customWidth="1"/>
    <col min="6" max="6" width="2.33203125" style="1" customWidth="1"/>
    <col min="7" max="7" width="12.44140625" style="1" customWidth="1"/>
    <col min="8" max="8" width="2.33203125" style="1" customWidth="1"/>
    <col min="9" max="9" width="14.44140625" style="1" customWidth="1"/>
    <col min="10" max="10" width="2.6640625" style="1" customWidth="1"/>
    <col min="11" max="11" width="19.6640625" style="1" bestFit="1" customWidth="1"/>
    <col min="12" max="12" width="9.44140625" style="1" bestFit="1" customWidth="1"/>
    <col min="13" max="16384" width="9.109375" style="1"/>
  </cols>
  <sheetData>
    <row r="1" spans="2:11" ht="18" customHeight="1"/>
    <row r="2" spans="2:11" ht="14.4">
      <c r="B2" s="96" t="s">
        <v>123</v>
      </c>
    </row>
    <row r="3" spans="2:11" ht="14.4">
      <c r="B3" s="97" t="s">
        <v>137</v>
      </c>
    </row>
    <row r="4" spans="2:11" ht="14.4">
      <c r="B4" s="97" t="s">
        <v>102</v>
      </c>
    </row>
    <row r="7" spans="2:11" s="2" customFormat="1" ht="39.6">
      <c r="C7" s="6" t="s">
        <v>97</v>
      </c>
      <c r="D7" s="6"/>
      <c r="E7" s="6" t="s">
        <v>98</v>
      </c>
      <c r="F7" s="6"/>
      <c r="G7" s="6" t="s">
        <v>120</v>
      </c>
      <c r="H7" s="6"/>
      <c r="I7" s="6" t="s">
        <v>99</v>
      </c>
      <c r="J7" s="6"/>
      <c r="K7" s="6" t="s">
        <v>2</v>
      </c>
    </row>
    <row r="8" spans="2:11" s="2" customFormat="1" ht="7.5" customHeight="1">
      <c r="B8" s="5"/>
      <c r="C8" s="30"/>
      <c r="D8" s="30"/>
      <c r="E8" s="30"/>
      <c r="F8" s="30"/>
      <c r="G8" s="30"/>
      <c r="H8" s="30"/>
      <c r="I8" s="30"/>
      <c r="J8" s="30"/>
      <c r="K8" s="30"/>
    </row>
    <row r="9" spans="2:11" s="2" customFormat="1" ht="15.75" customHeight="1">
      <c r="B9" s="4" t="s">
        <v>138</v>
      </c>
      <c r="C9" s="98">
        <v>100000</v>
      </c>
      <c r="D9" s="99"/>
      <c r="E9" s="98">
        <v>0</v>
      </c>
      <c r="F9" s="99">
        <f>570431.4+8510.2+503</f>
        <v>579444.6</v>
      </c>
      <c r="G9" s="98">
        <v>0</v>
      </c>
      <c r="H9" s="99"/>
      <c r="I9" s="98">
        <v>932150.58</v>
      </c>
      <c r="J9" s="99"/>
      <c r="K9" s="98">
        <f>C9+I9</f>
        <v>1032150.58</v>
      </c>
    </row>
    <row r="10" spans="2:11" s="2" customFormat="1" ht="10.5" customHeight="1">
      <c r="B10" s="4"/>
      <c r="C10" s="99"/>
      <c r="D10" s="99"/>
      <c r="E10" s="99"/>
      <c r="F10" s="99"/>
      <c r="G10" s="99"/>
      <c r="H10" s="99"/>
      <c r="I10" s="99"/>
      <c r="J10" s="99"/>
      <c r="K10" s="99"/>
    </row>
    <row r="11" spans="2:11" s="2" customFormat="1" ht="15" customHeight="1">
      <c r="B11" s="42" t="s">
        <v>92</v>
      </c>
      <c r="C11" s="100"/>
      <c r="D11" s="100"/>
      <c r="E11" s="100"/>
      <c r="F11" s="100"/>
      <c r="G11" s="100"/>
      <c r="H11" s="100"/>
      <c r="I11" s="101"/>
      <c r="J11" s="101"/>
      <c r="K11" s="101"/>
    </row>
    <row r="12" spans="2:11" s="2" customFormat="1" ht="15" customHeight="1">
      <c r="B12" s="42" t="s">
        <v>112</v>
      </c>
      <c r="C12" s="101"/>
      <c r="D12" s="101"/>
      <c r="E12" s="101"/>
      <c r="F12" s="101"/>
      <c r="G12" s="101"/>
      <c r="H12" s="101"/>
      <c r="I12" s="101">
        <v>0</v>
      </c>
      <c r="J12" s="101"/>
      <c r="K12" s="101">
        <f>SUM(I12:J12)</f>
        <v>0</v>
      </c>
    </row>
    <row r="13" spans="2:11" s="2" customFormat="1" ht="15" customHeight="1">
      <c r="B13" s="42" t="s">
        <v>93</v>
      </c>
      <c r="C13" s="100"/>
      <c r="D13" s="100"/>
      <c r="E13" s="100"/>
      <c r="F13" s="100"/>
      <c r="G13" s="100"/>
      <c r="H13" s="100"/>
      <c r="I13" s="101">
        <f>+'ardh-shpenz'!G28</f>
        <v>3638092.7600000026</v>
      </c>
      <c r="J13" s="101"/>
      <c r="K13" s="101">
        <f>SUM(I13:J13)</f>
        <v>3638092.7600000026</v>
      </c>
    </row>
    <row r="14" spans="2:11" s="2" customFormat="1" ht="15" customHeight="1">
      <c r="B14" s="42" t="s">
        <v>40</v>
      </c>
      <c r="C14" s="100"/>
      <c r="D14" s="100"/>
      <c r="E14" s="100"/>
      <c r="F14" s="100"/>
      <c r="G14" s="100"/>
      <c r="H14" s="100"/>
      <c r="I14" s="101">
        <v>-932150.58</v>
      </c>
      <c r="J14" s="101"/>
      <c r="K14" s="101">
        <f t="shared" ref="K14:K15" si="0">SUM(I14:J14)</f>
        <v>-932150.58</v>
      </c>
    </row>
    <row r="15" spans="2:11" s="2" customFormat="1" ht="15" customHeight="1">
      <c r="B15" s="42" t="s">
        <v>94</v>
      </c>
      <c r="C15" s="100"/>
      <c r="D15" s="100"/>
      <c r="E15" s="101"/>
      <c r="F15" s="101"/>
      <c r="G15" s="101">
        <v>0</v>
      </c>
      <c r="H15" s="101"/>
      <c r="I15" s="101">
        <f>-G15</f>
        <v>0</v>
      </c>
      <c r="J15" s="101"/>
      <c r="K15" s="101">
        <f t="shared" si="0"/>
        <v>0</v>
      </c>
    </row>
    <row r="16" spans="2:11" s="2" customFormat="1" ht="15" customHeight="1">
      <c r="B16" s="42" t="s">
        <v>95</v>
      </c>
      <c r="C16" s="101"/>
      <c r="D16" s="100"/>
      <c r="E16" s="100"/>
      <c r="F16" s="100"/>
      <c r="G16" s="100"/>
      <c r="H16" s="100"/>
      <c r="I16" s="100"/>
      <c r="J16" s="100"/>
      <c r="K16" s="101">
        <f>SUM(C16:J16)</f>
        <v>0</v>
      </c>
    </row>
    <row r="17" spans="2:12" s="2" customFormat="1" ht="15" customHeight="1">
      <c r="B17" s="5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2:12" s="2" customFormat="1" ht="15" customHeight="1" thickBot="1">
      <c r="B18" s="4" t="s">
        <v>139</v>
      </c>
      <c r="C18" s="103">
        <f>SUM(C9:C17)</f>
        <v>100000</v>
      </c>
      <c r="D18" s="99"/>
      <c r="E18" s="103">
        <f>SUM(E9:E17)</f>
        <v>0</v>
      </c>
      <c r="F18" s="99"/>
      <c r="G18" s="103">
        <f>SUM(G9:G17)</f>
        <v>0</v>
      </c>
      <c r="H18" s="99"/>
      <c r="I18" s="103">
        <f>SUM(I9:I17)</f>
        <v>3638092.7600000026</v>
      </c>
      <c r="J18" s="99"/>
      <c r="K18" s="103">
        <f>SUM(K9:K17)</f>
        <v>3738092.7600000026</v>
      </c>
    </row>
    <row r="19" spans="2:12" s="2" customFormat="1" ht="15" customHeight="1" thickTop="1">
      <c r="B19" s="4"/>
      <c r="C19" s="99"/>
      <c r="D19" s="99"/>
      <c r="E19" s="99"/>
      <c r="F19" s="99"/>
      <c r="G19" s="99"/>
      <c r="H19" s="99"/>
      <c r="I19" s="99"/>
      <c r="J19" s="99"/>
      <c r="K19" s="99"/>
    </row>
    <row r="20" spans="2:12" s="2" customFormat="1" ht="15" customHeight="1">
      <c r="B20" s="42" t="s">
        <v>93</v>
      </c>
      <c r="C20" s="101"/>
      <c r="D20" s="70"/>
      <c r="E20" s="101"/>
      <c r="F20" s="101"/>
      <c r="G20" s="101"/>
      <c r="H20" s="101"/>
      <c r="I20" s="101">
        <f>+'ardh-shpenz'!E28</f>
        <v>8975023.5999999996</v>
      </c>
      <c r="J20" s="101"/>
      <c r="K20" s="101">
        <f>SUM(C20:J20)</f>
        <v>8975023.5999999996</v>
      </c>
    </row>
    <row r="21" spans="2:12" s="2" customFormat="1" ht="15" customHeight="1">
      <c r="B21" s="42" t="s">
        <v>40</v>
      </c>
      <c r="C21" s="101"/>
      <c r="D21" s="100"/>
      <c r="E21" s="101"/>
      <c r="F21" s="101"/>
      <c r="G21" s="101"/>
      <c r="H21" s="101"/>
      <c r="I21" s="101">
        <v>-3638092.76</v>
      </c>
      <c r="J21" s="101"/>
      <c r="K21" s="101">
        <f>SUM(C21:J21)</f>
        <v>-3638092.76</v>
      </c>
    </row>
    <row r="22" spans="2:12" s="2" customFormat="1" ht="15" customHeight="1">
      <c r="B22" s="42" t="s">
        <v>94</v>
      </c>
      <c r="C22" s="100"/>
      <c r="D22" s="100"/>
      <c r="E22" s="101"/>
      <c r="F22" s="101"/>
      <c r="G22" s="101">
        <v>0</v>
      </c>
      <c r="H22" s="101"/>
      <c r="I22" s="101">
        <f>-G22</f>
        <v>0</v>
      </c>
      <c r="J22" s="101"/>
      <c r="K22" s="101"/>
    </row>
    <row r="23" spans="2:12" s="2" customFormat="1" ht="15" customHeight="1">
      <c r="B23" s="42" t="s">
        <v>96</v>
      </c>
      <c r="C23" s="101"/>
      <c r="D23" s="101"/>
      <c r="E23" s="101"/>
      <c r="F23" s="101"/>
      <c r="G23" s="101"/>
      <c r="H23" s="101"/>
      <c r="I23" s="101"/>
      <c r="J23" s="100"/>
      <c r="K23" s="101"/>
    </row>
    <row r="24" spans="2:12" s="2" customFormat="1" ht="15" customHeight="1">
      <c r="B24" s="5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2:12" s="2" customFormat="1" ht="15" customHeight="1" thickBot="1">
      <c r="B25" s="4" t="s">
        <v>140</v>
      </c>
      <c r="C25" s="109">
        <f>SUM(C18:C24)</f>
        <v>100000</v>
      </c>
      <c r="D25" s="110"/>
      <c r="E25" s="109">
        <f>SUM(E18:E24)</f>
        <v>0</v>
      </c>
      <c r="F25" s="111"/>
      <c r="G25" s="112">
        <f>SUM(G16:G24)</f>
        <v>0</v>
      </c>
      <c r="H25" s="111"/>
      <c r="I25" s="109">
        <f>SUM(I18:I24)</f>
        <v>8975023.6000000034</v>
      </c>
      <c r="J25" s="113"/>
      <c r="K25" s="109">
        <f>SUM(K18:K24)</f>
        <v>9075023.6000000034</v>
      </c>
      <c r="L25" s="41">
        <f>BK!E82-'kap veta'!K25</f>
        <v>0</v>
      </c>
    </row>
    <row r="26" spans="2:12" s="2" customFormat="1" ht="14.4" thickTop="1">
      <c r="B26" s="5"/>
      <c r="C26" s="30"/>
      <c r="D26" s="30"/>
      <c r="E26" s="30"/>
      <c r="F26" s="30"/>
      <c r="G26" s="30"/>
      <c r="H26" s="30"/>
      <c r="I26" s="30"/>
      <c r="J26" s="30"/>
      <c r="K26" s="30"/>
    </row>
    <row r="28" spans="2:12" ht="17.399999999999999">
      <c r="C28" s="18"/>
      <c r="E28" s="107" t="s">
        <v>126</v>
      </c>
      <c r="K28" s="7"/>
    </row>
    <row r="29" spans="2:12" ht="17.399999999999999">
      <c r="C29" s="18"/>
      <c r="E29" s="107" t="s">
        <v>130</v>
      </c>
    </row>
    <row r="30" spans="2:12" ht="17.399999999999999">
      <c r="C30" s="18"/>
      <c r="I30" s="18"/>
    </row>
  </sheetData>
  <phoneticPr fontId="3" type="noConversion"/>
  <pageMargins left="0.75" right="0.75" top="0.41" bottom="1" header="0.44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3"/>
  <sheetViews>
    <sheetView workbookViewId="0">
      <selection activeCell="K17" sqref="K17"/>
    </sheetView>
  </sheetViews>
  <sheetFormatPr defaultRowHeight="13.2"/>
  <cols>
    <col min="1" max="1" width="3.33203125" customWidth="1"/>
    <col min="2" max="2" width="3.6640625" customWidth="1"/>
    <col min="3" max="3" width="19.5546875" bestFit="1" customWidth="1"/>
    <col min="4" max="4" width="3.33203125" customWidth="1"/>
    <col min="5" max="5" width="15.44140625" bestFit="1" customWidth="1"/>
    <col min="6" max="6" width="2.6640625" customWidth="1"/>
    <col min="7" max="7" width="14" customWidth="1"/>
    <col min="8" max="8" width="3.6640625" customWidth="1"/>
    <col min="9" max="9" width="13.6640625" customWidth="1"/>
    <col min="10" max="10" width="2.88671875" customWidth="1"/>
    <col min="11" max="11" width="15.88671875" bestFit="1" customWidth="1"/>
    <col min="12" max="12" width="12.44140625" bestFit="1" customWidth="1"/>
  </cols>
  <sheetData>
    <row r="1" spans="2:12" ht="18" customHeight="1"/>
    <row r="2" spans="2:12" ht="17.399999999999999">
      <c r="B2" s="8" t="s">
        <v>123</v>
      </c>
    </row>
    <row r="3" spans="2:12" ht="17.399999999999999">
      <c r="B3" s="9" t="s">
        <v>134</v>
      </c>
      <c r="C3" s="1"/>
      <c r="D3" s="1"/>
    </row>
    <row r="4" spans="2:12" ht="17.399999999999999">
      <c r="B4" s="9" t="s">
        <v>102</v>
      </c>
      <c r="C4" s="1"/>
      <c r="D4" s="1"/>
    </row>
    <row r="5" spans="2:12" ht="49.5" customHeight="1">
      <c r="B5" s="9"/>
      <c r="C5" s="1"/>
      <c r="D5" s="1"/>
      <c r="E5" s="11" t="s">
        <v>104</v>
      </c>
      <c r="F5" s="11"/>
      <c r="G5" s="11" t="s">
        <v>127</v>
      </c>
      <c r="H5" s="10"/>
      <c r="I5" s="11" t="s">
        <v>128</v>
      </c>
      <c r="J5" s="12"/>
      <c r="K5" s="10" t="s">
        <v>2</v>
      </c>
    </row>
    <row r="6" spans="2:12" ht="14.4">
      <c r="C6" s="13" t="s">
        <v>105</v>
      </c>
      <c r="D6" s="14"/>
      <c r="I6" s="94"/>
      <c r="K6" s="94"/>
    </row>
    <row r="7" spans="2:12" ht="14.4">
      <c r="C7" s="15" t="s">
        <v>141</v>
      </c>
      <c r="D7" s="14"/>
      <c r="E7" s="14">
        <v>412890</v>
      </c>
      <c r="F7" s="14"/>
      <c r="G7" s="14">
        <v>0</v>
      </c>
      <c r="H7" s="14"/>
      <c r="I7" s="94">
        <v>101145</v>
      </c>
      <c r="J7" s="14"/>
      <c r="K7" s="14">
        <f>+E7+G7+I7</f>
        <v>514035</v>
      </c>
    </row>
    <row r="8" spans="2:12" ht="14.4">
      <c r="C8" s="15" t="s">
        <v>106</v>
      </c>
      <c r="D8" s="14"/>
      <c r="E8" s="14">
        <f>279160+140720</f>
        <v>419880</v>
      </c>
      <c r="F8" s="14"/>
      <c r="G8" s="14">
        <v>0</v>
      </c>
      <c r="H8" s="14"/>
      <c r="I8" s="14">
        <f>101145-I7</f>
        <v>0</v>
      </c>
      <c r="J8" s="14"/>
      <c r="K8" s="14">
        <f>+E8+G8+I8</f>
        <v>419880</v>
      </c>
    </row>
    <row r="9" spans="2:12" ht="14.4">
      <c r="C9" s="15" t="s">
        <v>107</v>
      </c>
      <c r="D9" s="14"/>
      <c r="E9" s="14">
        <f>-412890-140720</f>
        <v>-553610</v>
      </c>
      <c r="F9" s="14"/>
      <c r="G9" s="14">
        <v>0</v>
      </c>
      <c r="H9" s="14"/>
      <c r="I9" s="14">
        <v>0</v>
      </c>
      <c r="J9" s="14"/>
      <c r="K9" s="14">
        <f>+E9+G9+I9</f>
        <v>-553610</v>
      </c>
    </row>
    <row r="10" spans="2:12" ht="15" thickBot="1">
      <c r="C10" s="15" t="s">
        <v>142</v>
      </c>
      <c r="D10" s="14"/>
      <c r="E10" s="16">
        <f>SUM(E7:E9)</f>
        <v>279160</v>
      </c>
      <c r="F10" s="17"/>
      <c r="G10" s="16">
        <f>SUM(G7:G9)</f>
        <v>0</v>
      </c>
      <c r="H10" s="14"/>
      <c r="I10" s="16">
        <f>SUM(I7:I9)</f>
        <v>101145</v>
      </c>
      <c r="J10" s="14"/>
      <c r="K10" s="16">
        <f>SUM(K7:K9)</f>
        <v>380305</v>
      </c>
    </row>
    <row r="11" spans="2:12" ht="15" thickTop="1">
      <c r="C11" s="15"/>
      <c r="D11" s="14"/>
      <c r="E11" s="17"/>
      <c r="F11" s="17"/>
      <c r="G11" s="17"/>
      <c r="H11" s="14"/>
      <c r="I11" s="17"/>
      <c r="J11" s="14"/>
      <c r="K11" s="17"/>
    </row>
    <row r="12" spans="2:12" ht="14.4">
      <c r="C12" s="13" t="s">
        <v>108</v>
      </c>
      <c r="D12" s="14"/>
      <c r="E12" s="14"/>
      <c r="F12" s="14"/>
      <c r="G12" s="14"/>
      <c r="H12" s="14"/>
      <c r="I12" s="14"/>
      <c r="J12" s="14"/>
      <c r="K12" s="14"/>
    </row>
    <row r="13" spans="2:12" ht="14.4">
      <c r="C13" s="15" t="s">
        <v>141</v>
      </c>
      <c r="D13" s="14"/>
      <c r="E13" s="14">
        <v>148640</v>
      </c>
      <c r="F13" s="14"/>
      <c r="G13" s="14">
        <v>0</v>
      </c>
      <c r="H13" s="14"/>
      <c r="I13" s="14">
        <v>43681</v>
      </c>
      <c r="J13" s="14"/>
      <c r="K13" s="14">
        <f>SUM(E13:I13)</f>
        <v>192321</v>
      </c>
      <c r="L13" s="20"/>
    </row>
    <row r="14" spans="2:12" ht="14.4">
      <c r="C14" s="15" t="s">
        <v>106</v>
      </c>
      <c r="D14" s="14"/>
      <c r="E14" s="14">
        <v>52850</v>
      </c>
      <c r="F14" s="14"/>
      <c r="G14" s="14">
        <v>0</v>
      </c>
      <c r="H14" s="14"/>
      <c r="I14" s="14">
        <v>14366</v>
      </c>
      <c r="J14" s="14"/>
      <c r="K14" s="14">
        <f>SUM(E14:I14)</f>
        <v>67216</v>
      </c>
      <c r="L14" s="21"/>
    </row>
    <row r="15" spans="2:12" ht="14.4">
      <c r="C15" s="15" t="s">
        <v>107</v>
      </c>
      <c r="D15" s="14"/>
      <c r="E15" s="14">
        <v>-148640</v>
      </c>
      <c r="F15" s="14"/>
      <c r="G15" s="14">
        <v>0</v>
      </c>
      <c r="H15" s="14"/>
      <c r="I15" s="14">
        <v>0</v>
      </c>
      <c r="J15" s="14"/>
      <c r="K15" s="14">
        <f>SUM(E15:I15)</f>
        <v>-148640</v>
      </c>
    </row>
    <row r="16" spans="2:12" ht="15" thickBot="1">
      <c r="C16" s="15" t="s">
        <v>142</v>
      </c>
      <c r="D16" s="14"/>
      <c r="E16" s="16">
        <f>SUM(E13:E15)</f>
        <v>52850</v>
      </c>
      <c r="F16" s="17"/>
      <c r="G16" s="16">
        <f>+G13+G14</f>
        <v>0</v>
      </c>
      <c r="H16" s="14"/>
      <c r="I16" s="16">
        <f>+I13+I14</f>
        <v>58047</v>
      </c>
      <c r="J16" s="14"/>
      <c r="K16" s="16">
        <f>SUM(K13:K15)</f>
        <v>110897</v>
      </c>
    </row>
    <row r="17" spans="3:12" ht="15" thickTop="1">
      <c r="C17" s="15"/>
      <c r="D17" s="14"/>
      <c r="E17" s="14"/>
      <c r="F17" s="14"/>
      <c r="G17" s="14"/>
      <c r="H17" s="14"/>
      <c r="I17" s="14"/>
      <c r="J17" s="14"/>
      <c r="K17" s="14"/>
    </row>
    <row r="18" spans="3:12" ht="14.4">
      <c r="C18" s="13" t="s">
        <v>143</v>
      </c>
      <c r="D18" s="14"/>
      <c r="E18" s="14">
        <f>+E7-E13</f>
        <v>264250</v>
      </c>
      <c r="F18" s="14"/>
      <c r="G18" s="14">
        <f>+G7-G13</f>
        <v>0</v>
      </c>
      <c r="H18" s="14"/>
      <c r="I18" s="14">
        <f>+I7-I13</f>
        <v>57464</v>
      </c>
      <c r="J18" s="14"/>
      <c r="K18" s="14">
        <f>+K7-K13</f>
        <v>321714</v>
      </c>
      <c r="L18" s="19"/>
    </row>
    <row r="19" spans="3:12" ht="15" thickBot="1">
      <c r="C19" s="13" t="s">
        <v>144</v>
      </c>
      <c r="D19" s="14"/>
      <c r="E19" s="16">
        <f>+E10-E16</f>
        <v>226310</v>
      </c>
      <c r="F19" s="17"/>
      <c r="G19" s="16">
        <f>+G10-G16</f>
        <v>0</v>
      </c>
      <c r="H19" s="14"/>
      <c r="I19" s="16">
        <f>+I10-I16</f>
        <v>43098</v>
      </c>
      <c r="J19" s="14"/>
      <c r="K19" s="16">
        <f>+K10-K16</f>
        <v>269408</v>
      </c>
      <c r="L19" s="21">
        <f>+K19-BK!E35</f>
        <v>0</v>
      </c>
    </row>
    <row r="20" spans="3:12" ht="13.8" thickTop="1"/>
    <row r="22" spans="3:12" ht="13.8">
      <c r="G22" s="107" t="s">
        <v>126</v>
      </c>
    </row>
    <row r="23" spans="3:12" ht="13.8">
      <c r="G23" s="107" t="s">
        <v>130</v>
      </c>
    </row>
  </sheetData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BK</vt:lpstr>
      <vt:lpstr>ardh-shpenz</vt:lpstr>
      <vt:lpstr>cash-flow</vt:lpstr>
      <vt:lpstr>kap veta</vt:lpstr>
      <vt:lpstr>AQ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DELL</cp:lastModifiedBy>
  <cp:lastPrinted>2014-03-14T12:28:02Z</cp:lastPrinted>
  <dcterms:created xsi:type="dcterms:W3CDTF">2008-12-17T10:29:05Z</dcterms:created>
  <dcterms:modified xsi:type="dcterms:W3CDTF">2014-07-29T08:34:33Z</dcterms:modified>
</cp:coreProperties>
</file>